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cuments_Lycee\Niveau Terminales\TS-PHYSIQUE\TS-CHI-3-Cinétique\"/>
    </mc:Choice>
  </mc:AlternateContent>
  <bookViews>
    <workbookView xWindow="0" yWindow="0" windowWidth="19440" windowHeight="7755" tabRatio="567" firstSheet="1" activeTab="1"/>
  </bookViews>
  <sheets>
    <sheet name="relevé de mesures" sheetId="10" state="hidden" r:id="rId1"/>
    <sheet name="suivi conductimétrie élève" sheetId="9" r:id="rId2"/>
    <sheet name="suivi conductimétrie t=20 °exce" sheetId="8" state="hidden" r:id="rId3"/>
    <sheet name="suivi conductimétrie t=20 °C)" sheetId="7" state="hidden" r:id="rId4"/>
    <sheet name="suivi conductimétrie t=15°C" sheetId="6" state="hidden" r:id="rId5"/>
    <sheet name="Feuil1" sheetId="1" state="hidden" r:id="rId6"/>
  </sheets>
  <definedNames>
    <definedName name="_xlnm.Print_Area" localSheetId="1">'suivi conductimétrie élève'!$A$1:$P$26</definedName>
    <definedName name="_xlnm.Print_Area" localSheetId="4">'suivi conductimétrie t=15°C'!$A$1:$P$27</definedName>
    <definedName name="_xlnm.Print_Area" localSheetId="3">'suivi conductimétrie t=20 °C)'!$A$1:$P$26</definedName>
    <definedName name="_xlnm.Print_Area" localSheetId="2">'suivi conductimétrie t=20 °exce'!$A$1:$P$26</definedName>
  </definedNames>
  <calcPr calcId="162913"/>
</workbook>
</file>

<file path=xl/calcChain.xml><?xml version="1.0" encoding="utf-8"?>
<calcChain xmlns="http://schemas.openxmlformats.org/spreadsheetml/2006/main">
  <c r="E104" i="7" l="1"/>
  <c r="E105" i="7" s="1"/>
  <c r="E106" i="7" s="1"/>
  <c r="E107" i="7" s="1"/>
  <c r="E108" i="7" s="1"/>
  <c r="E109" i="7" s="1"/>
  <c r="E110" i="7" s="1"/>
  <c r="E111" i="7" s="1"/>
  <c r="E112" i="7" s="1"/>
  <c r="E113" i="7" s="1"/>
  <c r="E114" i="7" s="1"/>
  <c r="E115" i="7" s="1"/>
  <c r="E116" i="7" s="1"/>
  <c r="E117" i="7" s="1"/>
  <c r="E118" i="7" s="1"/>
  <c r="E119" i="7" s="1"/>
  <c r="F105" i="7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A104" i="7"/>
  <c r="B104" i="7" s="1"/>
  <c r="F79" i="7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E78" i="7"/>
  <c r="A79" i="7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B78" i="7"/>
  <c r="D103" i="7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D72" i="7"/>
  <c r="D73" i="7"/>
  <c r="D74" i="7"/>
  <c r="D75" i="7"/>
  <c r="D76" i="7"/>
  <c r="D77" i="7"/>
  <c r="D78" i="7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E1" i="9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B105" i="7" l="1"/>
  <c r="D104" i="7"/>
  <c r="A105" i="7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F97" i="7"/>
  <c r="F98" i="7" s="1"/>
  <c r="F99" i="7" s="1"/>
  <c r="F100" i="7" s="1"/>
  <c r="F101" i="7" s="1"/>
  <c r="F102" i="7" s="1"/>
  <c r="E79" i="7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B79" i="7"/>
  <c r="B80" i="7" s="1"/>
  <c r="B81" i="7" s="1"/>
  <c r="D80" i="7"/>
  <c r="G1" i="9"/>
  <c r="K3" i="9"/>
  <c r="I5" i="9"/>
  <c r="I7" i="9"/>
  <c r="I3" i="9"/>
  <c r="K5" i="9"/>
  <c r="K7" i="9"/>
  <c r="L26" i="9"/>
  <c r="A42" i="8"/>
  <c r="D13" i="7"/>
  <c r="D14" i="7"/>
  <c r="D15" i="7"/>
  <c r="D16" i="7"/>
  <c r="D17" i="7"/>
  <c r="D18" i="7"/>
  <c r="D19" i="7"/>
  <c r="D20" i="7"/>
  <c r="D21" i="7"/>
  <c r="D14" i="8"/>
  <c r="E1" i="8"/>
  <c r="D7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E1" i="7"/>
  <c r="D15" i="6"/>
  <c r="D14" i="6"/>
  <c r="E1" i="6"/>
  <c r="G73" i="7" l="1"/>
  <c r="G77" i="7"/>
  <c r="G16" i="7"/>
  <c r="L26" i="7" s="1"/>
  <c r="G20" i="7"/>
  <c r="G24" i="7"/>
  <c r="G28" i="7"/>
  <c r="G32" i="7"/>
  <c r="G36" i="7"/>
  <c r="G40" i="7"/>
  <c r="G44" i="7"/>
  <c r="G48" i="7"/>
  <c r="G52" i="7"/>
  <c r="G56" i="7"/>
  <c r="G60" i="7"/>
  <c r="G64" i="7"/>
  <c r="G68" i="7"/>
  <c r="G72" i="7"/>
  <c r="F16" i="7"/>
  <c r="F20" i="7"/>
  <c r="F24" i="7"/>
  <c r="F28" i="7"/>
  <c r="F32" i="7"/>
  <c r="F36" i="7"/>
  <c r="F40" i="7"/>
  <c r="F44" i="7"/>
  <c r="F48" i="7"/>
  <c r="F52" i="7"/>
  <c r="F56" i="7"/>
  <c r="F60" i="7"/>
  <c r="F64" i="7"/>
  <c r="F68" i="7"/>
  <c r="F72" i="7"/>
  <c r="G74" i="7"/>
  <c r="G78" i="7"/>
  <c r="G17" i="7"/>
  <c r="G21" i="7"/>
  <c r="G25" i="7"/>
  <c r="G29" i="7"/>
  <c r="G33" i="7"/>
  <c r="G37" i="7"/>
  <c r="G41" i="7"/>
  <c r="G45" i="7"/>
  <c r="G49" i="7"/>
  <c r="G53" i="7"/>
  <c r="G57" i="7"/>
  <c r="G61" i="7"/>
  <c r="G65" i="7"/>
  <c r="G69" i="7"/>
  <c r="G13" i="7"/>
  <c r="F17" i="7"/>
  <c r="F21" i="7"/>
  <c r="F25" i="7"/>
  <c r="F29" i="7"/>
  <c r="F33" i="7"/>
  <c r="F37" i="7"/>
  <c r="F41" i="7"/>
  <c r="F45" i="7"/>
  <c r="F49" i="7"/>
  <c r="F53" i="7"/>
  <c r="F57" i="7"/>
  <c r="F61" i="7"/>
  <c r="F65" i="7"/>
  <c r="F69" i="7"/>
  <c r="F13" i="7"/>
  <c r="G63" i="7"/>
  <c r="F47" i="7"/>
  <c r="F59" i="7"/>
  <c r="F71" i="7"/>
  <c r="G103" i="7"/>
  <c r="G75" i="7"/>
  <c r="G14" i="7"/>
  <c r="G18" i="7"/>
  <c r="G22" i="7"/>
  <c r="G26" i="7"/>
  <c r="G30" i="7"/>
  <c r="G34" i="7"/>
  <c r="G38" i="7"/>
  <c r="G42" i="7"/>
  <c r="G46" i="7"/>
  <c r="G50" i="7"/>
  <c r="G54" i="7"/>
  <c r="G58" i="7"/>
  <c r="G62" i="7"/>
  <c r="G66" i="7"/>
  <c r="G70" i="7"/>
  <c r="F14" i="7"/>
  <c r="F18" i="7"/>
  <c r="F22" i="7"/>
  <c r="F26" i="7"/>
  <c r="F30" i="7"/>
  <c r="F34" i="7"/>
  <c r="F38" i="7"/>
  <c r="F42" i="7"/>
  <c r="F46" i="7"/>
  <c r="F50" i="7"/>
  <c r="F54" i="7"/>
  <c r="F58" i="7"/>
  <c r="F62" i="7"/>
  <c r="F66" i="7"/>
  <c r="F70" i="7"/>
  <c r="G71" i="7"/>
  <c r="F63" i="7"/>
  <c r="G76" i="7"/>
  <c r="G15" i="7"/>
  <c r="G19" i="7"/>
  <c r="G23" i="7"/>
  <c r="G27" i="7"/>
  <c r="G31" i="7"/>
  <c r="G35" i="7"/>
  <c r="G39" i="7"/>
  <c r="G43" i="7"/>
  <c r="G47" i="7"/>
  <c r="G51" i="7"/>
  <c r="G55" i="7"/>
  <c r="G59" i="7"/>
  <c r="G67" i="7"/>
  <c r="F15" i="7"/>
  <c r="F19" i="7"/>
  <c r="F23" i="7"/>
  <c r="F27" i="7"/>
  <c r="F31" i="7"/>
  <c r="F35" i="7"/>
  <c r="F39" i="7"/>
  <c r="F43" i="7"/>
  <c r="F51" i="7"/>
  <c r="F55" i="7"/>
  <c r="F67" i="7"/>
  <c r="G22" i="8"/>
  <c r="G26" i="8"/>
  <c r="G30" i="8"/>
  <c r="G34" i="8"/>
  <c r="G38" i="8"/>
  <c r="G42" i="8"/>
  <c r="G46" i="8"/>
  <c r="G50" i="8"/>
  <c r="G23" i="8"/>
  <c r="G27" i="8"/>
  <c r="G31" i="8"/>
  <c r="G35" i="8"/>
  <c r="G39" i="8"/>
  <c r="G43" i="8"/>
  <c r="G47" i="8"/>
  <c r="G51" i="8"/>
  <c r="G14" i="8"/>
  <c r="G15" i="8"/>
  <c r="G19" i="8"/>
  <c r="G21" i="8"/>
  <c r="G33" i="8"/>
  <c r="G41" i="8"/>
  <c r="G45" i="8"/>
  <c r="G17" i="8"/>
  <c r="G90" i="8"/>
  <c r="G24" i="8"/>
  <c r="G28" i="8"/>
  <c r="G32" i="8"/>
  <c r="G36" i="8"/>
  <c r="G40" i="8"/>
  <c r="G44" i="8"/>
  <c r="G48" i="8"/>
  <c r="G16" i="8"/>
  <c r="G20" i="8"/>
  <c r="G25" i="8"/>
  <c r="G37" i="8"/>
  <c r="G13" i="8"/>
  <c r="G18" i="8"/>
  <c r="G29" i="8"/>
  <c r="G49" i="8"/>
  <c r="G105" i="7"/>
  <c r="G104" i="7"/>
  <c r="B106" i="7"/>
  <c r="D105" i="7"/>
  <c r="D79" i="7"/>
  <c r="G106" i="7"/>
  <c r="G79" i="7"/>
  <c r="B82" i="7"/>
  <c r="D81" i="7"/>
  <c r="N6" i="9"/>
  <c r="N4" i="9"/>
  <c r="K7" i="6"/>
  <c r="G15" i="6"/>
  <c r="G17" i="6"/>
  <c r="L27" i="6" s="1"/>
  <c r="G19" i="6"/>
  <c r="G21" i="6"/>
  <c r="G23" i="6"/>
  <c r="G25" i="6"/>
  <c r="G27" i="6"/>
  <c r="G29" i="6"/>
  <c r="G31" i="6"/>
  <c r="G33" i="6"/>
  <c r="G35" i="6"/>
  <c r="G37" i="6"/>
  <c r="G39" i="6"/>
  <c r="G41" i="6"/>
  <c r="G43" i="6"/>
  <c r="G45" i="6"/>
  <c r="G47" i="6"/>
  <c r="G49" i="6"/>
  <c r="G51" i="6"/>
  <c r="G53" i="6"/>
  <c r="G55" i="6"/>
  <c r="G57" i="6"/>
  <c r="G59" i="6"/>
  <c r="G61" i="6"/>
  <c r="G63" i="6"/>
  <c r="G65" i="6"/>
  <c r="G67" i="6"/>
  <c r="G69" i="6"/>
  <c r="G71" i="6"/>
  <c r="G16" i="6"/>
  <c r="G18" i="6"/>
  <c r="G20" i="6"/>
  <c r="G22" i="6"/>
  <c r="G24" i="6"/>
  <c r="G26" i="6"/>
  <c r="G28" i="6"/>
  <c r="G30" i="6"/>
  <c r="G32" i="6"/>
  <c r="G34" i="6"/>
  <c r="G36" i="6"/>
  <c r="G38" i="6"/>
  <c r="G40" i="6"/>
  <c r="G42" i="6"/>
  <c r="G44" i="6"/>
  <c r="G46" i="6"/>
  <c r="G48" i="6"/>
  <c r="G50" i="6"/>
  <c r="G52" i="6"/>
  <c r="G54" i="6"/>
  <c r="G56" i="6"/>
  <c r="G58" i="6"/>
  <c r="G60" i="6"/>
  <c r="G62" i="6"/>
  <c r="G64" i="6"/>
  <c r="G66" i="6"/>
  <c r="G68" i="6"/>
  <c r="G70" i="6"/>
  <c r="G14" i="6"/>
  <c r="K7" i="7"/>
  <c r="I7" i="8"/>
  <c r="H67" i="7"/>
  <c r="H63" i="7"/>
  <c r="H59" i="7"/>
  <c r="H55" i="7"/>
  <c r="H51" i="7"/>
  <c r="H47" i="7"/>
  <c r="H43" i="7"/>
  <c r="H39" i="7"/>
  <c r="H35" i="7"/>
  <c r="H31" i="7"/>
  <c r="H27" i="7"/>
  <c r="H71" i="7"/>
  <c r="H40" i="7"/>
  <c r="H36" i="7"/>
  <c r="H32" i="7"/>
  <c r="H70" i="7"/>
  <c r="H66" i="7"/>
  <c r="H62" i="7"/>
  <c r="H58" i="7"/>
  <c r="H54" i="7"/>
  <c r="H50" i="7"/>
  <c r="H46" i="7"/>
  <c r="H69" i="7"/>
  <c r="H65" i="7"/>
  <c r="H61" i="7"/>
  <c r="H57" i="7"/>
  <c r="H53" i="7"/>
  <c r="H49" i="7"/>
  <c r="H45" i="7"/>
  <c r="H42" i="7"/>
  <c r="H38" i="7"/>
  <c r="H34" i="7"/>
  <c r="H30" i="7"/>
  <c r="H26" i="7"/>
  <c r="H72" i="7"/>
  <c r="H68" i="7"/>
  <c r="H64" i="7"/>
  <c r="H60" i="7"/>
  <c r="H56" i="7"/>
  <c r="H52" i="7"/>
  <c r="H48" i="7"/>
  <c r="D69" i="8"/>
  <c r="D57" i="8"/>
  <c r="D49" i="8"/>
  <c r="D37" i="8"/>
  <c r="D25" i="8"/>
  <c r="G1" i="7"/>
  <c r="H29" i="7"/>
  <c r="H33" i="7"/>
  <c r="H37" i="7"/>
  <c r="H41" i="7"/>
  <c r="D13" i="8"/>
  <c r="D68" i="8"/>
  <c r="D64" i="8"/>
  <c r="D60" i="8"/>
  <c r="D56" i="8"/>
  <c r="D52" i="8"/>
  <c r="D48" i="8"/>
  <c r="D44" i="8"/>
  <c r="D40" i="8"/>
  <c r="D36" i="8"/>
  <c r="D32" i="8"/>
  <c r="D28" i="8"/>
  <c r="D24" i="8"/>
  <c r="D20" i="8"/>
  <c r="D16" i="8"/>
  <c r="D65" i="8"/>
  <c r="D53" i="8"/>
  <c r="D41" i="8"/>
  <c r="D29" i="8"/>
  <c r="D21" i="8"/>
  <c r="K3" i="7"/>
  <c r="D71" i="8"/>
  <c r="D67" i="8"/>
  <c r="D63" i="8"/>
  <c r="D59" i="8"/>
  <c r="D55" i="8"/>
  <c r="D51" i="8"/>
  <c r="D47" i="8"/>
  <c r="D43" i="8"/>
  <c r="D39" i="8"/>
  <c r="D35" i="8"/>
  <c r="D31" i="8"/>
  <c r="D27" i="8"/>
  <c r="D23" i="8"/>
  <c r="D19" i="8"/>
  <c r="D15" i="8"/>
  <c r="I7" i="7"/>
  <c r="D61" i="8"/>
  <c r="D45" i="8"/>
  <c r="D33" i="8"/>
  <c r="D17" i="8"/>
  <c r="I5" i="7"/>
  <c r="L9" i="7" s="1"/>
  <c r="D70" i="8"/>
  <c r="D66" i="8"/>
  <c r="D62" i="8"/>
  <c r="D58" i="8"/>
  <c r="D54" i="8"/>
  <c r="D50" i="8"/>
  <c r="D46" i="8"/>
  <c r="D42" i="8"/>
  <c r="D38" i="8"/>
  <c r="D34" i="8"/>
  <c r="D30" i="8"/>
  <c r="D26" i="8"/>
  <c r="D22" i="8"/>
  <c r="D18" i="8"/>
  <c r="I3" i="8"/>
  <c r="K5" i="8"/>
  <c r="K7" i="8"/>
  <c r="L26" i="8"/>
  <c r="G1" i="8"/>
  <c r="K3" i="8"/>
  <c r="I5" i="8"/>
  <c r="H14" i="7"/>
  <c r="H15" i="7"/>
  <c r="H17" i="7"/>
  <c r="H19" i="7"/>
  <c r="H21" i="7"/>
  <c r="H23" i="7"/>
  <c r="H25" i="7"/>
  <c r="H16" i="7"/>
  <c r="H18" i="7"/>
  <c r="H20" i="7"/>
  <c r="H22" i="7"/>
  <c r="H24" i="7"/>
  <c r="I3" i="7"/>
  <c r="K5" i="7"/>
  <c r="N6" i="7" s="1"/>
  <c r="G1" i="6"/>
  <c r="K3" i="6"/>
  <c r="I5" i="6"/>
  <c r="I7" i="6"/>
  <c r="I3" i="6"/>
  <c r="K5" i="6"/>
  <c r="N6" i="6" l="1"/>
  <c r="N4" i="6"/>
  <c r="B107" i="7"/>
  <c r="D106" i="7"/>
  <c r="H44" i="7"/>
  <c r="H28" i="7"/>
  <c r="G107" i="7"/>
  <c r="G80" i="7"/>
  <c r="D82" i="7"/>
  <c r="B83" i="7"/>
  <c r="P5" i="9"/>
  <c r="N6" i="8"/>
  <c r="N4" i="7"/>
  <c r="P5" i="7" s="1"/>
  <c r="N4" i="8"/>
  <c r="P5" i="8" s="1"/>
  <c r="C8" i="1"/>
  <c r="C11" i="1" s="1"/>
  <c r="H11" i="1" s="1"/>
  <c r="H5" i="1"/>
  <c r="E2" i="1"/>
  <c r="I5" i="1" s="1"/>
  <c r="J5" i="1" s="1"/>
  <c r="K3" i="1"/>
  <c r="L3" i="1"/>
  <c r="M3" i="1"/>
  <c r="J3" i="1"/>
  <c r="M6" i="1"/>
  <c r="H32" i="1"/>
  <c r="H29" i="1"/>
  <c r="H27" i="1"/>
  <c r="H30" i="1"/>
  <c r="H26" i="1"/>
  <c r="H21" i="1"/>
  <c r="H19" i="1"/>
  <c r="H18" i="1"/>
  <c r="H16" i="1"/>
  <c r="H15" i="1"/>
  <c r="H6" i="1"/>
  <c r="H9" i="1" l="1"/>
  <c r="B108" i="7"/>
  <c r="D107" i="7"/>
  <c r="H8" i="1"/>
  <c r="P5" i="6"/>
  <c r="G108" i="7"/>
  <c r="G81" i="7"/>
  <c r="B84" i="7"/>
  <c r="D83" i="7"/>
  <c r="I19" i="1"/>
  <c r="I6" i="1"/>
  <c r="J6" i="1" s="1"/>
  <c r="I16" i="1"/>
  <c r="I15" i="1"/>
  <c r="I30" i="1"/>
  <c r="I26" i="1"/>
  <c r="I27" i="1"/>
  <c r="I11" i="1"/>
  <c r="J11" i="1" s="1"/>
  <c r="M11" i="1" s="1"/>
  <c r="I8" i="1"/>
  <c r="J8" i="1" s="1"/>
  <c r="I18" i="1"/>
  <c r="I21" i="1"/>
  <c r="I32" i="1"/>
  <c r="I29" i="1"/>
  <c r="I9" i="1"/>
  <c r="J9" i="1" s="1"/>
  <c r="M9" i="1" s="1"/>
  <c r="M5" i="1"/>
  <c r="B109" i="7" l="1"/>
  <c r="D108" i="7"/>
  <c r="G109" i="7"/>
  <c r="G82" i="7"/>
  <c r="D84" i="7"/>
  <c r="B85" i="7"/>
  <c r="L5" i="1"/>
  <c r="K5" i="1"/>
  <c r="B110" i="7" l="1"/>
  <c r="D109" i="7"/>
  <c r="G110" i="7"/>
  <c r="G83" i="7"/>
  <c r="B86" i="7"/>
  <c r="D85" i="7"/>
  <c r="B111" i="7" l="1"/>
  <c r="D110" i="7"/>
  <c r="G111" i="7"/>
  <c r="G84" i="7"/>
  <c r="D86" i="7"/>
  <c r="B87" i="7"/>
  <c r="B112" i="7" l="1"/>
  <c r="D111" i="7"/>
  <c r="G112" i="7"/>
  <c r="G85" i="7"/>
  <c r="B88" i="7"/>
  <c r="D87" i="7"/>
  <c r="B113" i="7" l="1"/>
  <c r="D112" i="7"/>
  <c r="G113" i="7"/>
  <c r="G86" i="7"/>
  <c r="D88" i="7"/>
  <c r="B89" i="7"/>
  <c r="B114" i="7" l="1"/>
  <c r="D113" i="7"/>
  <c r="G114" i="7"/>
  <c r="G87" i="7"/>
  <c r="B90" i="7"/>
  <c r="D89" i="7"/>
  <c r="B115" i="7" l="1"/>
  <c r="D114" i="7"/>
  <c r="G115" i="7"/>
  <c r="G88" i="7"/>
  <c r="D90" i="7"/>
  <c r="B91" i="7"/>
  <c r="B116" i="7" l="1"/>
  <c r="D115" i="7"/>
  <c r="G116" i="7"/>
  <c r="G89" i="7"/>
  <c r="B92" i="7"/>
  <c r="D91" i="7"/>
  <c r="B117" i="7" l="1"/>
  <c r="D116" i="7"/>
  <c r="G117" i="7"/>
  <c r="G90" i="7"/>
  <c r="D92" i="7"/>
  <c r="B93" i="7"/>
  <c r="B118" i="7" l="1"/>
  <c r="D117" i="7"/>
  <c r="G118" i="7"/>
  <c r="G119" i="7"/>
  <c r="G91" i="7"/>
  <c r="B94" i="7"/>
  <c r="D93" i="7"/>
  <c r="B119" i="7" l="1"/>
  <c r="D119" i="7" s="1"/>
  <c r="D118" i="7"/>
  <c r="G92" i="7"/>
  <c r="D94" i="7"/>
  <c r="B95" i="7"/>
  <c r="G93" i="7" l="1"/>
  <c r="B96" i="7"/>
  <c r="D95" i="7"/>
  <c r="G94" i="7" l="1"/>
  <c r="D96" i="7"/>
  <c r="B97" i="7"/>
  <c r="G95" i="7" l="1"/>
  <c r="B98" i="7"/>
  <c r="D97" i="7"/>
  <c r="G96" i="7" l="1"/>
  <c r="D98" i="7"/>
  <c r="B99" i="7"/>
  <c r="G97" i="7" l="1"/>
  <c r="B100" i="7"/>
  <c r="D99" i="7"/>
  <c r="G98" i="7" l="1"/>
  <c r="D100" i="7"/>
  <c r="B101" i="7"/>
  <c r="G99" i="7" l="1"/>
  <c r="B102" i="7"/>
  <c r="D102" i="7" s="1"/>
  <c r="D101" i="7"/>
  <c r="G100" i="7" l="1"/>
  <c r="G102" i="7" l="1"/>
  <c r="G101" i="7"/>
</calcChain>
</file>

<file path=xl/sharedStrings.xml><?xml version="1.0" encoding="utf-8"?>
<sst xmlns="http://schemas.openxmlformats.org/spreadsheetml/2006/main" count="224" uniqueCount="57">
  <si>
    <t xml:space="preserve">solution de KI à </t>
  </si>
  <si>
    <t>mol/L</t>
  </si>
  <si>
    <t>V total</t>
  </si>
  <si>
    <t>K+</t>
  </si>
  <si>
    <t>I-</t>
  </si>
  <si>
    <t xml:space="preserve">solution de HCl à </t>
  </si>
  <si>
    <t xml:space="preserve">solution de H2O2 à </t>
  </si>
  <si>
    <t>volume prélevé (mL)</t>
  </si>
  <si>
    <t>H+</t>
  </si>
  <si>
    <t>Cl-</t>
  </si>
  <si>
    <t>H2O2</t>
  </si>
  <si>
    <t>réactifs en proportion stoechiométriques</t>
  </si>
  <si>
    <t>T ambiante</t>
  </si>
  <si>
    <t>H2O2 en excès</t>
  </si>
  <si>
    <t>T 0°C</t>
  </si>
  <si>
    <r>
      <t>S.m</t>
    </r>
    <r>
      <rPr>
        <vertAlign val="superscript"/>
        <sz val="9"/>
        <color theme="1"/>
        <rFont val="Comic Sans MS"/>
        <family val="4"/>
      </rPr>
      <t>2</t>
    </r>
    <r>
      <rPr>
        <sz val="9"/>
        <color theme="1"/>
        <rFont val="Comic Sans MS"/>
        <family val="4"/>
      </rPr>
      <t>.mol</t>
    </r>
    <r>
      <rPr>
        <vertAlign val="superscript"/>
        <sz val="9"/>
        <color theme="1"/>
        <rFont val="Comic Sans MS"/>
        <family val="4"/>
      </rPr>
      <t>-1</t>
    </r>
  </si>
  <si>
    <t xml:space="preserve">Conductivités molaires ioniques : </t>
  </si>
  <si>
    <r>
      <t>l</t>
    </r>
    <r>
      <rPr>
        <vertAlign val="subscript"/>
        <sz val="10"/>
        <color rgb="FF000000"/>
        <rFont val="Times New Roman"/>
        <family val="1"/>
      </rPr>
      <t>Cl-</t>
    </r>
    <r>
      <rPr>
        <sz val="10"/>
        <color rgb="FF000000"/>
        <rFont val="Times New Roman"/>
        <family val="1"/>
      </rPr>
      <t xml:space="preserve"> </t>
    </r>
  </si>
  <si>
    <r>
      <t>lI</t>
    </r>
    <r>
      <rPr>
        <vertAlign val="subscript"/>
        <sz val="10"/>
        <color rgb="FF000000"/>
        <rFont val="Times New Roman"/>
        <family val="1"/>
      </rPr>
      <t>-</t>
    </r>
    <r>
      <rPr>
        <sz val="10"/>
        <color rgb="FF000000"/>
        <rFont val="Times New Roman"/>
        <family val="1"/>
      </rPr>
      <t xml:space="preserve"> </t>
    </r>
  </si>
  <si>
    <t>lK+</t>
  </si>
  <si>
    <r>
      <t>lH+</t>
    </r>
    <r>
      <rPr>
        <sz val="10"/>
        <color rgb="FF000000"/>
        <rFont val="Times New Roman"/>
        <family val="1"/>
      </rPr>
      <t xml:space="preserve"> </t>
    </r>
  </si>
  <si>
    <t>concentration ini (mol/L)</t>
  </si>
  <si>
    <t>nb moles ini</t>
  </si>
  <si>
    <t>σ ini (mS)</t>
  </si>
  <si>
    <t>σ final (mS)</t>
  </si>
  <si>
    <t>mol/m3</t>
  </si>
  <si>
    <t>saisir  le volume de H2O2 prélevé</t>
  </si>
  <si>
    <t>saisir  le volume de KI prélevé</t>
  </si>
  <si>
    <t>saisir  le volume de HCl prélevé</t>
  </si>
  <si>
    <t>Ve =</t>
  </si>
  <si>
    <t>mL</t>
  </si>
  <si>
    <t>Vi =</t>
  </si>
  <si>
    <t>Vh =</t>
  </si>
  <si>
    <t xml:space="preserve">conductivité molaire </t>
  </si>
  <si>
    <t>Saisir la constante de cellule calculée</t>
  </si>
  <si>
    <t>concentration de la solution prélevée</t>
  </si>
  <si>
    <t>mS.m2/mol</t>
  </si>
  <si>
    <t>volume total (mL)</t>
  </si>
  <si>
    <t>concentration dans le mélange réactif</t>
  </si>
  <si>
    <t>à saisir</t>
  </si>
  <si>
    <t>calcul auto</t>
  </si>
  <si>
    <t>temps (en s)</t>
  </si>
  <si>
    <t>σ ini (mS/cm)</t>
  </si>
  <si>
    <t>conductivité mesurée :   σ (en mS/cm)</t>
  </si>
  <si>
    <t>dérivée</t>
  </si>
  <si>
    <t>minutes</t>
  </si>
  <si>
    <t>secondes</t>
  </si>
  <si>
    <t>calculé</t>
  </si>
  <si>
    <t>sigma zéro</t>
  </si>
  <si>
    <t>mS/cm</t>
  </si>
  <si>
    <t>σ fin (mS/cm)</t>
  </si>
  <si>
    <t>avancement de la réaction (mol)</t>
  </si>
  <si>
    <t>valeurs théoriques</t>
  </si>
  <si>
    <t xml:space="preserve">volume total </t>
  </si>
  <si>
    <t>temps</t>
  </si>
  <si>
    <t>conductimétrie</t>
  </si>
  <si>
    <t>Noms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</si>
</sst>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E+00"/>
    <numFmt numFmtId="165" formatCode="0.000000"/>
    <numFmt numFmtId="166" formatCode="0E+00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0"/>
      <color rgb="FF000000"/>
      <name val="Symbol"/>
      <family val="1"/>
      <charset val="2"/>
    </font>
    <font>
      <vertAlign val="sub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omic Sans MS"/>
      <family val="4"/>
    </font>
    <font>
      <vertAlign val="superscript"/>
      <sz val="9"/>
      <color theme="1"/>
      <name val="Comic Sans MS"/>
      <family val="4"/>
    </font>
    <font>
      <b/>
      <i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0" tint="-0.149998474074526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0" fillId="0" borderId="0" xfId="0" applyNumberFormat="1"/>
    <xf numFmtId="11" fontId="0" fillId="0" borderId="0" xfId="0" applyNumberFormat="1"/>
    <xf numFmtId="166" fontId="9" fillId="0" borderId="0" xfId="0" applyNumberFormat="1" applyFont="1"/>
    <xf numFmtId="0" fontId="11" fillId="8" borderId="0" xfId="0" applyFont="1" applyFill="1" applyAlignment="1">
      <alignment horizontal="center" vertical="center" wrapText="1"/>
    </xf>
    <xf numFmtId="11" fontId="11" fillId="8" borderId="0" xfId="0" applyNumberFormat="1" applyFont="1" applyFill="1"/>
    <xf numFmtId="0" fontId="13" fillId="0" borderId="0" xfId="0" applyFont="1"/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9" borderId="5" xfId="0" applyFill="1" applyBorder="1"/>
    <xf numFmtId="0" fontId="0" fillId="9" borderId="7" xfId="0" applyFill="1" applyBorder="1"/>
    <xf numFmtId="0" fontId="0" fillId="9" borderId="0" xfId="0" applyFill="1"/>
    <xf numFmtId="0" fontId="0" fillId="9" borderId="0" xfId="0" applyFill="1" applyBorder="1"/>
    <xf numFmtId="0" fontId="0" fillId="9" borderId="6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0" xfId="0" applyFill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/>
    </xf>
    <xf numFmtId="2" fontId="12" fillId="11" borderId="11" xfId="0" applyNumberFormat="1" applyFont="1" applyFill="1" applyBorder="1" applyAlignment="1">
      <alignment horizontal="center" vertical="center"/>
    </xf>
    <xf numFmtId="0" fontId="0" fillId="10" borderId="2" xfId="0" applyFill="1" applyBorder="1"/>
    <xf numFmtId="0" fontId="0" fillId="10" borderId="5" xfId="0" applyFill="1" applyBorder="1"/>
    <xf numFmtId="0" fontId="0" fillId="11" borderId="6" xfId="0" applyFill="1" applyBorder="1" applyAlignment="1">
      <alignment horizontal="center"/>
    </xf>
    <xf numFmtId="2" fontId="12" fillId="11" borderId="1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1" fontId="14" fillId="9" borderId="12" xfId="0" applyNumberFormat="1" applyFont="1" applyFill="1" applyBorder="1" applyAlignment="1" applyProtection="1">
      <alignment horizontal="center" vertical="center"/>
    </xf>
    <xf numFmtId="11" fontId="14" fillId="9" borderId="13" xfId="0" applyNumberFormat="1" applyFont="1" applyFill="1" applyBorder="1" applyAlignment="1" applyProtection="1">
      <alignment horizontal="center" vertical="center"/>
    </xf>
    <xf numFmtId="0" fontId="11" fillId="9" borderId="0" xfId="0" applyFont="1" applyFill="1"/>
    <xf numFmtId="0" fontId="11" fillId="0" borderId="0" xfId="0" applyFont="1"/>
    <xf numFmtId="167" fontId="0" fillId="11" borderId="4" xfId="0" applyNumberFormat="1" applyFill="1" applyBorder="1" applyAlignment="1">
      <alignment horizontal="center"/>
    </xf>
    <xf numFmtId="167" fontId="0" fillId="11" borderId="6" xfId="0" applyNumberFormat="1" applyFill="1" applyBorder="1" applyAlignment="1">
      <alignment horizontal="center"/>
    </xf>
    <xf numFmtId="0" fontId="15" fillId="0" borderId="0" xfId="0" applyFont="1"/>
    <xf numFmtId="2" fontId="12" fillId="12" borderId="1" xfId="0" applyNumberFormat="1" applyFont="1" applyFill="1" applyBorder="1" applyAlignment="1">
      <alignment horizontal="center" vertical="center" wrapText="1"/>
    </xf>
    <xf numFmtId="2" fontId="12" fillId="12" borderId="11" xfId="0" applyNumberFormat="1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/>
    </xf>
    <xf numFmtId="2" fontId="12" fillId="12" borderId="11" xfId="0" applyNumberFormat="1" applyFont="1" applyFill="1" applyBorder="1" applyAlignment="1">
      <alignment horizontal="center" vertical="center" wrapText="1"/>
    </xf>
    <xf numFmtId="11" fontId="11" fillId="9" borderId="0" xfId="0" applyNumberFormat="1" applyFont="1" applyFill="1"/>
    <xf numFmtId="0" fontId="0" fillId="2" borderId="0" xfId="0" applyFill="1" applyAlignment="1">
      <alignment horizontal="center"/>
    </xf>
    <xf numFmtId="0" fontId="14" fillId="0" borderId="0" xfId="0" applyFont="1" applyAlignment="1">
      <alignment horizontal="center" vertical="center"/>
    </xf>
    <xf numFmtId="167" fontId="0" fillId="0" borderId="0" xfId="0" applyNumberFormat="1"/>
    <xf numFmtId="0" fontId="10" fillId="9" borderId="12" xfId="0" applyFont="1" applyFill="1" applyBorder="1" applyAlignment="1" applyProtection="1">
      <alignment horizontal="center" vertical="center" wrapText="1"/>
      <protection locked="0"/>
    </xf>
    <xf numFmtId="11" fontId="14" fillId="9" borderId="14" xfId="0" applyNumberFormat="1" applyFont="1" applyFill="1" applyBorder="1" applyAlignment="1" applyProtection="1">
      <alignment horizontal="center" vertical="center"/>
    </xf>
    <xf numFmtId="0" fontId="16" fillId="10" borderId="5" xfId="0" applyFont="1" applyFill="1" applyBorder="1" applyAlignment="1">
      <alignment horizontal="center"/>
    </xf>
    <xf numFmtId="167" fontId="16" fillId="11" borderId="6" xfId="0" applyNumberFormat="1" applyFont="1" applyFill="1" applyBorder="1" applyAlignment="1">
      <alignment horizontal="center"/>
    </xf>
    <xf numFmtId="167" fontId="10" fillId="11" borderId="4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1" fontId="11" fillId="0" borderId="0" xfId="0" applyNumberFormat="1" applyFont="1" applyAlignment="1">
      <alignment horizontal="center" vertical="center"/>
    </xf>
    <xf numFmtId="11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6" fillId="9" borderId="2" xfId="0" applyFont="1" applyFill="1" applyBorder="1" applyAlignment="1">
      <alignment horizontal="center" vertical="center"/>
    </xf>
    <xf numFmtId="167" fontId="0" fillId="9" borderId="4" xfId="0" applyNumberFormat="1" applyFill="1" applyBorder="1"/>
    <xf numFmtId="0" fontId="6" fillId="9" borderId="7" xfId="0" applyFont="1" applyFill="1" applyBorder="1" applyAlignment="1">
      <alignment horizontal="center" vertical="center"/>
    </xf>
    <xf numFmtId="167" fontId="0" fillId="9" borderId="9" xfId="0" applyNumberFormat="1" applyFill="1" applyBorder="1"/>
    <xf numFmtId="0" fontId="12" fillId="9" borderId="2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0" fillId="9" borderId="8" xfId="0" applyNumberFormat="1" applyFill="1" applyBorder="1" applyAlignment="1">
      <alignment horizontal="center" vertical="center"/>
    </xf>
    <xf numFmtId="0" fontId="0" fillId="9" borderId="9" xfId="0" applyNumberFormat="1" applyFill="1" applyBorder="1" applyAlignment="1">
      <alignment horizontal="center" vertical="center"/>
    </xf>
    <xf numFmtId="167" fontId="16" fillId="11" borderId="4" xfId="0" applyNumberFormat="1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11" fontId="20" fillId="7" borderId="0" xfId="0" applyNumberFormat="1" applyFont="1" applyFill="1" applyBorder="1"/>
    <xf numFmtId="0" fontId="10" fillId="9" borderId="0" xfId="0" applyFont="1" applyFill="1" applyBorder="1"/>
    <xf numFmtId="0" fontId="10" fillId="0" borderId="0" xfId="0" applyFont="1" applyBorder="1"/>
    <xf numFmtId="11" fontId="20" fillId="7" borderId="8" xfId="0" applyNumberFormat="1" applyFont="1" applyFill="1" applyBorder="1"/>
    <xf numFmtId="0" fontId="15" fillId="0" borderId="1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9" borderId="10" xfId="0" applyFill="1" applyBorder="1"/>
    <xf numFmtId="0" fontId="0" fillId="9" borderId="15" xfId="0" applyFill="1" applyBorder="1"/>
    <xf numFmtId="0" fontId="11" fillId="7" borderId="15" xfId="0" applyFont="1" applyFill="1" applyBorder="1" applyAlignment="1">
      <alignment horizontal="center" vertical="center" wrapText="1"/>
    </xf>
    <xf numFmtId="0" fontId="0" fillId="9" borderId="11" xfId="0" applyFill="1" applyBorder="1"/>
    <xf numFmtId="0" fontId="16" fillId="9" borderId="15" xfId="0" applyFont="1" applyFill="1" applyBorder="1"/>
    <xf numFmtId="0" fontId="16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 vertical="center"/>
    </xf>
    <xf numFmtId="167" fontId="16" fillId="11" borderId="6" xfId="0" applyNumberFormat="1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right"/>
    </xf>
    <xf numFmtId="2" fontId="12" fillId="6" borderId="1" xfId="0" applyNumberFormat="1" applyFont="1" applyFill="1" applyBorder="1" applyAlignment="1">
      <alignment horizontal="center" vertical="center" wrapText="1"/>
    </xf>
    <xf numFmtId="2" fontId="12" fillId="6" borderId="11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2" fontId="12" fillId="6" borderId="10" xfId="0" applyNumberFormat="1" applyFont="1" applyFill="1" applyBorder="1" applyAlignment="1">
      <alignment horizontal="center" vertical="center" wrapText="1"/>
    </xf>
    <xf numFmtId="2" fontId="12" fillId="6" borderId="11" xfId="0" applyNumberFormat="1" applyFont="1" applyFill="1" applyBorder="1" applyAlignment="1">
      <alignment horizontal="center" vertical="center" wrapText="1"/>
    </xf>
    <xf numFmtId="2" fontId="12" fillId="12" borderId="10" xfId="0" applyNumberFormat="1" applyFont="1" applyFill="1" applyBorder="1" applyAlignment="1">
      <alignment horizontal="center" vertical="center" wrapText="1"/>
    </xf>
    <xf numFmtId="2" fontId="12" fillId="1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élève'!$E$12</c:f>
              <c:strCache>
                <c:ptCount val="1"/>
                <c:pt idx="0">
                  <c:v>conductivité mesurée :   σ (en mS/cm)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élève'!$D$13:$D$90</c:f>
              <c:numCache>
                <c:formatCode>General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xVal>
          <c:yVal>
            <c:numRef>
              <c:f>'suivi conductimétrie élève'!$E$13:$E$90</c:f>
              <c:numCache>
                <c:formatCode>0.000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FA-40EC-933A-A93EF8BAD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81856"/>
        <c:axId val="141488128"/>
      </c:scatterChart>
      <c:valAx>
        <c:axId val="14148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488128"/>
        <c:crosses val="autoZero"/>
        <c:crossBetween val="midCat"/>
      </c:valAx>
      <c:valAx>
        <c:axId val="1414881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48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t=15°C'!$E$13</c:f>
              <c:strCache>
                <c:ptCount val="1"/>
                <c:pt idx="0">
                  <c:v>conductivité mesurée :   σ (en mS/cm)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t=15°C'!$D$14:$D$51</c:f>
              <c:numCache>
                <c:formatCode>General</c:formatCode>
                <c:ptCount val="38"/>
                <c:pt idx="0">
                  <c:v>26</c:v>
                </c:pt>
                <c:pt idx="1">
                  <c:v>44</c:v>
                </c:pt>
                <c:pt idx="2">
                  <c:v>52</c:v>
                </c:pt>
                <c:pt idx="3">
                  <c:v>69</c:v>
                </c:pt>
                <c:pt idx="4">
                  <c:v>102</c:v>
                </c:pt>
                <c:pt idx="5">
                  <c:v>120</c:v>
                </c:pt>
                <c:pt idx="6">
                  <c:v>139</c:v>
                </c:pt>
                <c:pt idx="7">
                  <c:v>160</c:v>
                </c:pt>
                <c:pt idx="8">
                  <c:v>178</c:v>
                </c:pt>
                <c:pt idx="9">
                  <c:v>210</c:v>
                </c:pt>
                <c:pt idx="10">
                  <c:v>240</c:v>
                </c:pt>
                <c:pt idx="11">
                  <c:v>270</c:v>
                </c:pt>
                <c:pt idx="12">
                  <c:v>300</c:v>
                </c:pt>
                <c:pt idx="13">
                  <c:v>330</c:v>
                </c:pt>
                <c:pt idx="14">
                  <c:v>360</c:v>
                </c:pt>
                <c:pt idx="15">
                  <c:v>390</c:v>
                </c:pt>
                <c:pt idx="16">
                  <c:v>420</c:v>
                </c:pt>
                <c:pt idx="17">
                  <c:v>450</c:v>
                </c:pt>
                <c:pt idx="18">
                  <c:v>480</c:v>
                </c:pt>
                <c:pt idx="19">
                  <c:v>510</c:v>
                </c:pt>
                <c:pt idx="20">
                  <c:v>540</c:v>
                </c:pt>
                <c:pt idx="21">
                  <c:v>570</c:v>
                </c:pt>
                <c:pt idx="22">
                  <c:v>600</c:v>
                </c:pt>
                <c:pt idx="23">
                  <c:v>669</c:v>
                </c:pt>
                <c:pt idx="24">
                  <c:v>700</c:v>
                </c:pt>
                <c:pt idx="25">
                  <c:v>750</c:v>
                </c:pt>
                <c:pt idx="26">
                  <c:v>810</c:v>
                </c:pt>
                <c:pt idx="27">
                  <c:v>992</c:v>
                </c:pt>
                <c:pt idx="28">
                  <c:v>1155</c:v>
                </c:pt>
                <c:pt idx="29">
                  <c:v>1208</c:v>
                </c:pt>
                <c:pt idx="30">
                  <c:v>1260</c:v>
                </c:pt>
                <c:pt idx="31">
                  <c:v>1323</c:v>
                </c:pt>
                <c:pt idx="32">
                  <c:v>1420</c:v>
                </c:pt>
                <c:pt idx="33">
                  <c:v>1500</c:v>
                </c:pt>
                <c:pt idx="34">
                  <c:v>1560</c:v>
                </c:pt>
                <c:pt idx="35">
                  <c:v>1620</c:v>
                </c:pt>
                <c:pt idx="36">
                  <c:v>1680</c:v>
                </c:pt>
                <c:pt idx="37">
                  <c:v>1770</c:v>
                </c:pt>
              </c:numCache>
            </c:numRef>
          </c:xVal>
          <c:yVal>
            <c:numRef>
              <c:f>'suivi conductimétrie t=15°C'!$E$14:$E$51</c:f>
              <c:numCache>
                <c:formatCode>0.000</c:formatCode>
                <c:ptCount val="38"/>
                <c:pt idx="0">
                  <c:v>1.875</c:v>
                </c:pt>
                <c:pt idx="1">
                  <c:v>1.865</c:v>
                </c:pt>
                <c:pt idx="2">
                  <c:v>1.86</c:v>
                </c:pt>
                <c:pt idx="3">
                  <c:v>1.8560000000000001</c:v>
                </c:pt>
                <c:pt idx="4">
                  <c:v>1.85</c:v>
                </c:pt>
                <c:pt idx="5">
                  <c:v>1.84</c:v>
                </c:pt>
                <c:pt idx="6">
                  <c:v>1.835</c:v>
                </c:pt>
                <c:pt idx="7">
                  <c:v>1.83</c:v>
                </c:pt>
                <c:pt idx="8">
                  <c:v>1.825</c:v>
                </c:pt>
                <c:pt idx="9">
                  <c:v>1.82</c:v>
                </c:pt>
                <c:pt idx="10">
                  <c:v>1.8129999999999999</c:v>
                </c:pt>
                <c:pt idx="11">
                  <c:v>1.806</c:v>
                </c:pt>
                <c:pt idx="12">
                  <c:v>1.7909999999999999</c:v>
                </c:pt>
                <c:pt idx="13">
                  <c:v>1.782</c:v>
                </c:pt>
                <c:pt idx="14">
                  <c:v>1.77</c:v>
                </c:pt>
                <c:pt idx="15">
                  <c:v>1.762</c:v>
                </c:pt>
                <c:pt idx="16">
                  <c:v>1.7490000000000001</c:v>
                </c:pt>
                <c:pt idx="17">
                  <c:v>1.7430000000000001</c:v>
                </c:pt>
                <c:pt idx="18">
                  <c:v>1.7350000000000001</c:v>
                </c:pt>
                <c:pt idx="19">
                  <c:v>1.7290000000000001</c:v>
                </c:pt>
                <c:pt idx="20">
                  <c:v>1.7224999999999999</c:v>
                </c:pt>
                <c:pt idx="21">
                  <c:v>1.716</c:v>
                </c:pt>
                <c:pt idx="22">
                  <c:v>1.7095</c:v>
                </c:pt>
                <c:pt idx="23">
                  <c:v>1.702</c:v>
                </c:pt>
                <c:pt idx="24">
                  <c:v>1.696</c:v>
                </c:pt>
                <c:pt idx="25">
                  <c:v>1.6859999999999999</c:v>
                </c:pt>
                <c:pt idx="26">
                  <c:v>1.68</c:v>
                </c:pt>
                <c:pt idx="27">
                  <c:v>1.6579999999999999</c:v>
                </c:pt>
                <c:pt idx="28">
                  <c:v>1.645</c:v>
                </c:pt>
                <c:pt idx="29">
                  <c:v>1.641</c:v>
                </c:pt>
                <c:pt idx="30">
                  <c:v>1.635</c:v>
                </c:pt>
                <c:pt idx="31">
                  <c:v>1.631</c:v>
                </c:pt>
                <c:pt idx="32">
                  <c:v>1.623</c:v>
                </c:pt>
                <c:pt idx="33">
                  <c:v>1.615</c:v>
                </c:pt>
                <c:pt idx="34">
                  <c:v>1.61</c:v>
                </c:pt>
                <c:pt idx="35">
                  <c:v>1.605</c:v>
                </c:pt>
                <c:pt idx="36">
                  <c:v>1.601</c:v>
                </c:pt>
                <c:pt idx="37">
                  <c:v>1.5940000000000001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A9-4804-9E86-02E852CD7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23616"/>
        <c:axId val="144242176"/>
      </c:scatterChart>
      <c:valAx>
        <c:axId val="14422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42176"/>
        <c:crosses val="autoZero"/>
        <c:crossBetween val="midCat"/>
      </c:valAx>
      <c:valAx>
        <c:axId val="1442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2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t=15°C'!$G$13</c:f>
              <c:strCache>
                <c:ptCount val="1"/>
                <c:pt idx="0">
                  <c:v>avancement de la réaction (mol)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t=15°C'!$D$14:$D$71</c:f>
              <c:numCache>
                <c:formatCode>General</c:formatCode>
                <c:ptCount val="58"/>
                <c:pt idx="0">
                  <c:v>26</c:v>
                </c:pt>
                <c:pt idx="1">
                  <c:v>44</c:v>
                </c:pt>
                <c:pt idx="2">
                  <c:v>52</c:v>
                </c:pt>
                <c:pt idx="3">
                  <c:v>69</c:v>
                </c:pt>
                <c:pt idx="4">
                  <c:v>102</c:v>
                </c:pt>
                <c:pt idx="5">
                  <c:v>120</c:v>
                </c:pt>
                <c:pt idx="6">
                  <c:v>139</c:v>
                </c:pt>
                <c:pt idx="7">
                  <c:v>160</c:v>
                </c:pt>
                <c:pt idx="8">
                  <c:v>178</c:v>
                </c:pt>
                <c:pt idx="9">
                  <c:v>210</c:v>
                </c:pt>
                <c:pt idx="10">
                  <c:v>240</c:v>
                </c:pt>
                <c:pt idx="11">
                  <c:v>270</c:v>
                </c:pt>
                <c:pt idx="12">
                  <c:v>300</c:v>
                </c:pt>
                <c:pt idx="13">
                  <c:v>330</c:v>
                </c:pt>
                <c:pt idx="14">
                  <c:v>360</c:v>
                </c:pt>
                <c:pt idx="15">
                  <c:v>390</c:v>
                </c:pt>
                <c:pt idx="16">
                  <c:v>420</c:v>
                </c:pt>
                <c:pt idx="17">
                  <c:v>450</c:v>
                </c:pt>
                <c:pt idx="18">
                  <c:v>480</c:v>
                </c:pt>
                <c:pt idx="19">
                  <c:v>510</c:v>
                </c:pt>
                <c:pt idx="20">
                  <c:v>540</c:v>
                </c:pt>
                <c:pt idx="21">
                  <c:v>570</c:v>
                </c:pt>
                <c:pt idx="22">
                  <c:v>600</c:v>
                </c:pt>
                <c:pt idx="23">
                  <c:v>669</c:v>
                </c:pt>
                <c:pt idx="24">
                  <c:v>700</c:v>
                </c:pt>
                <c:pt idx="25">
                  <c:v>750</c:v>
                </c:pt>
                <c:pt idx="26">
                  <c:v>810</c:v>
                </c:pt>
                <c:pt idx="27">
                  <c:v>992</c:v>
                </c:pt>
                <c:pt idx="28">
                  <c:v>1155</c:v>
                </c:pt>
                <c:pt idx="29">
                  <c:v>1208</c:v>
                </c:pt>
                <c:pt idx="30">
                  <c:v>1260</c:v>
                </c:pt>
                <c:pt idx="31">
                  <c:v>1323</c:v>
                </c:pt>
                <c:pt idx="32">
                  <c:v>1420</c:v>
                </c:pt>
                <c:pt idx="33">
                  <c:v>1500</c:v>
                </c:pt>
                <c:pt idx="34">
                  <c:v>1560</c:v>
                </c:pt>
                <c:pt idx="35">
                  <c:v>1620</c:v>
                </c:pt>
                <c:pt idx="36">
                  <c:v>1680</c:v>
                </c:pt>
                <c:pt idx="37">
                  <c:v>1770</c:v>
                </c:pt>
                <c:pt idx="38">
                  <c:v>1860</c:v>
                </c:pt>
                <c:pt idx="39">
                  <c:v>1920</c:v>
                </c:pt>
                <c:pt idx="40">
                  <c:v>1990</c:v>
                </c:pt>
                <c:pt idx="41">
                  <c:v>2060</c:v>
                </c:pt>
                <c:pt idx="42">
                  <c:v>2120</c:v>
                </c:pt>
                <c:pt idx="43">
                  <c:v>2180</c:v>
                </c:pt>
                <c:pt idx="44">
                  <c:v>2235</c:v>
                </c:pt>
                <c:pt idx="45">
                  <c:v>2358</c:v>
                </c:pt>
                <c:pt idx="46">
                  <c:v>2420</c:v>
                </c:pt>
                <c:pt idx="47">
                  <c:v>2560</c:v>
                </c:pt>
                <c:pt idx="48">
                  <c:v>2650</c:v>
                </c:pt>
                <c:pt idx="49">
                  <c:v>2765</c:v>
                </c:pt>
                <c:pt idx="50">
                  <c:v>2870</c:v>
                </c:pt>
                <c:pt idx="51">
                  <c:v>2940</c:v>
                </c:pt>
                <c:pt idx="52">
                  <c:v>3060</c:v>
                </c:pt>
                <c:pt idx="53">
                  <c:v>3180</c:v>
                </c:pt>
                <c:pt idx="54">
                  <c:v>3330</c:v>
                </c:pt>
                <c:pt idx="55">
                  <c:v>3600</c:v>
                </c:pt>
                <c:pt idx="56">
                  <c:v>3840</c:v>
                </c:pt>
                <c:pt idx="57">
                  <c:v>4260</c:v>
                </c:pt>
              </c:numCache>
            </c:numRef>
          </c:xVal>
          <c:yVal>
            <c:numRef>
              <c:f>'suivi conductimétrie t=15°C'!$G$14:$G$71</c:f>
              <c:numCache>
                <c:formatCode>0.00E+00</c:formatCode>
                <c:ptCount val="58"/>
                <c:pt idx="0">
                  <c:v>3.1914893617021227E-6</c:v>
                </c:pt>
                <c:pt idx="1">
                  <c:v>3.9007092198581514E-6</c:v>
                </c:pt>
                <c:pt idx="2">
                  <c:v>4.2553191489361579E-6</c:v>
                </c:pt>
                <c:pt idx="3">
                  <c:v>4.5390070921985691E-6</c:v>
                </c:pt>
                <c:pt idx="4">
                  <c:v>4.9645390070921871E-6</c:v>
                </c:pt>
                <c:pt idx="5">
                  <c:v>5.673758865248217E-6</c:v>
                </c:pt>
                <c:pt idx="6">
                  <c:v>6.0283687943262388E-6</c:v>
                </c:pt>
                <c:pt idx="7">
                  <c:v>6.3829787234042453E-6</c:v>
                </c:pt>
                <c:pt idx="8">
                  <c:v>6.7375886524822671E-6</c:v>
                </c:pt>
                <c:pt idx="9">
                  <c:v>7.0921985815602736E-6</c:v>
                </c:pt>
                <c:pt idx="10">
                  <c:v>7.5886524822695022E-6</c:v>
                </c:pt>
                <c:pt idx="11">
                  <c:v>8.0851063829787148E-6</c:v>
                </c:pt>
                <c:pt idx="12">
                  <c:v>9.1489361702127665E-6</c:v>
                </c:pt>
                <c:pt idx="13">
                  <c:v>9.7872340425531834E-6</c:v>
                </c:pt>
                <c:pt idx="14">
                  <c:v>1.0638297872340419E-5</c:v>
                </c:pt>
                <c:pt idx="15">
                  <c:v>1.1205673758865243E-5</c:v>
                </c:pt>
                <c:pt idx="16">
                  <c:v>1.212765957446807E-5</c:v>
                </c:pt>
                <c:pt idx="17">
                  <c:v>1.255319148936169E-5</c:v>
                </c:pt>
                <c:pt idx="18">
                  <c:v>1.3120567375886511E-5</c:v>
                </c:pt>
                <c:pt idx="19">
                  <c:v>1.354609929078013E-5</c:v>
                </c:pt>
                <c:pt idx="20">
                  <c:v>1.400709219858156E-5</c:v>
                </c:pt>
                <c:pt idx="21">
                  <c:v>1.4468085106382976E-5</c:v>
                </c:pt>
                <c:pt idx="22">
                  <c:v>1.4929078014184389E-5</c:v>
                </c:pt>
                <c:pt idx="23">
                  <c:v>1.5460992907801416E-5</c:v>
                </c:pt>
                <c:pt idx="24">
                  <c:v>1.5886524822695031E-5</c:v>
                </c:pt>
                <c:pt idx="25">
                  <c:v>1.6595744680851061E-5</c:v>
                </c:pt>
                <c:pt idx="26">
                  <c:v>1.7021276595744682E-5</c:v>
                </c:pt>
                <c:pt idx="27">
                  <c:v>1.8581560283687945E-5</c:v>
                </c:pt>
                <c:pt idx="28">
                  <c:v>1.9503546099290777E-5</c:v>
                </c:pt>
                <c:pt idx="29">
                  <c:v>1.9787234042553182E-5</c:v>
                </c:pt>
                <c:pt idx="30">
                  <c:v>2.0212765957446804E-5</c:v>
                </c:pt>
                <c:pt idx="31">
                  <c:v>2.0496453900709212E-5</c:v>
                </c:pt>
                <c:pt idx="32">
                  <c:v>2.1063829787234036E-5</c:v>
                </c:pt>
                <c:pt idx="33">
                  <c:v>2.163120567375886E-5</c:v>
                </c:pt>
                <c:pt idx="34">
                  <c:v>2.1985815602836865E-5</c:v>
                </c:pt>
                <c:pt idx="35">
                  <c:v>2.2340425531914887E-5</c:v>
                </c:pt>
                <c:pt idx="36">
                  <c:v>2.2624113475177302E-5</c:v>
                </c:pt>
                <c:pt idx="37">
                  <c:v>2.3120567375886513E-5</c:v>
                </c:pt>
                <c:pt idx="38">
                  <c:v>2.3687943262411334E-5</c:v>
                </c:pt>
                <c:pt idx="39">
                  <c:v>2.4113475177304955E-5</c:v>
                </c:pt>
                <c:pt idx="40">
                  <c:v>2.446808510638298E-5</c:v>
                </c:pt>
                <c:pt idx="41">
                  <c:v>2.4893617021276592E-5</c:v>
                </c:pt>
                <c:pt idx="42">
                  <c:v>2.517730496453901E-5</c:v>
                </c:pt>
                <c:pt idx="43">
                  <c:v>2.5744680851063831E-5</c:v>
                </c:pt>
                <c:pt idx="44">
                  <c:v>2.6028368794326243E-5</c:v>
                </c:pt>
                <c:pt idx="45">
                  <c:v>2.6666666666666656E-5</c:v>
                </c:pt>
                <c:pt idx="46">
                  <c:v>2.7021276595744682E-5</c:v>
                </c:pt>
                <c:pt idx="47">
                  <c:v>2.7872340425531918E-5</c:v>
                </c:pt>
                <c:pt idx="48">
                  <c:v>2.8368794326241132E-5</c:v>
                </c:pt>
                <c:pt idx="49">
                  <c:v>2.9148936170212768E-5</c:v>
                </c:pt>
                <c:pt idx="50">
                  <c:v>2.9645390070921976E-5</c:v>
                </c:pt>
                <c:pt idx="51">
                  <c:v>3.00709219858156E-5</c:v>
                </c:pt>
                <c:pt idx="52">
                  <c:v>3.0921985815602833E-5</c:v>
                </c:pt>
                <c:pt idx="53">
                  <c:v>3.2624113475177305E-5</c:v>
                </c:pt>
                <c:pt idx="54">
                  <c:v>3.3546099290780127E-5</c:v>
                </c:pt>
                <c:pt idx="55">
                  <c:v>3.7304964539007096E-5</c:v>
                </c:pt>
                <c:pt idx="56">
                  <c:v>3.8085106382978719E-5</c:v>
                </c:pt>
                <c:pt idx="57">
                  <c:v>4.0212765957446809E-5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34-4B6E-A858-21D3A3EA5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77888"/>
        <c:axId val="144279808"/>
      </c:scatterChart>
      <c:valAx>
        <c:axId val="144277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79808"/>
        <c:crosses val="autoZero"/>
        <c:crossBetween val="midCat"/>
      </c:valAx>
      <c:valAx>
        <c:axId val="14427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77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t=15°C'!$H$14</c:f>
              <c:strCache>
                <c:ptCount val="1"/>
              </c:strCache>
            </c:strRef>
          </c:tx>
          <c:yVal>
            <c:numRef>
              <c:f>'suivi conductimétrie t=15°C'!$H$15:$H$50</c:f>
              <c:numCache>
                <c:formatCode>0.00E+00</c:formatCode>
                <c:ptCount val="3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9C-46D3-8625-F372BF47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98368"/>
        <c:axId val="144299904"/>
      </c:scatterChart>
      <c:valAx>
        <c:axId val="14429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4299904"/>
        <c:crosses val="autoZero"/>
        <c:crossBetween val="midCat"/>
      </c:valAx>
      <c:valAx>
        <c:axId val="14429990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44298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élève'!$G$12</c:f>
              <c:strCache>
                <c:ptCount val="1"/>
                <c:pt idx="0">
                  <c:v>avancement de la réaction (mol)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élève'!$D$13:$D$90</c:f>
              <c:numCache>
                <c:formatCode>General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xVal>
          <c:yVal>
            <c:numRef>
              <c:f>'suivi conductimétrie élève'!$G$13:$G$90</c:f>
              <c:numCache>
                <c:formatCode>0.00E+00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97-494E-9F20-3B09384B7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60832"/>
        <c:axId val="141587584"/>
      </c:scatterChart>
      <c:valAx>
        <c:axId val="1415608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587584"/>
        <c:crosses val="autoZero"/>
        <c:crossBetween val="midCat"/>
      </c:valAx>
      <c:valAx>
        <c:axId val="1415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56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élève'!$H$13</c:f>
              <c:strCache>
                <c:ptCount val="1"/>
              </c:strCache>
            </c:strRef>
          </c:tx>
          <c:yVal>
            <c:numRef>
              <c:f>'suivi conductimétrie élève'!$H$14:$H$49</c:f>
              <c:numCache>
                <c:formatCode>0.00E+00</c:formatCode>
                <c:ptCount val="3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BC-4B90-9D74-6DCFA6708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18176"/>
        <c:axId val="143655680"/>
      </c:scatterChart>
      <c:valAx>
        <c:axId val="14161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55680"/>
        <c:crosses val="autoZero"/>
        <c:crossBetween val="midCat"/>
      </c:valAx>
      <c:valAx>
        <c:axId val="14365568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41618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t=20 °exce'!$E$12</c:f>
              <c:strCache>
                <c:ptCount val="1"/>
                <c:pt idx="0">
                  <c:v>conductivité mesurée :   σ (en mS/cm)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t=20 °exce'!$D$13:$D$90</c:f>
              <c:numCache>
                <c:formatCode>General</c:formatCode>
                <c:ptCount val="78"/>
                <c:pt idx="0">
                  <c:v>1377</c:v>
                </c:pt>
                <c:pt idx="1">
                  <c:v>1380</c:v>
                </c:pt>
                <c:pt idx="2">
                  <c:v>1389</c:v>
                </c:pt>
                <c:pt idx="3">
                  <c:v>1404</c:v>
                </c:pt>
                <c:pt idx="4">
                  <c:v>1420</c:v>
                </c:pt>
                <c:pt idx="5">
                  <c:v>1440</c:v>
                </c:pt>
                <c:pt idx="6">
                  <c:v>1463</c:v>
                </c:pt>
                <c:pt idx="7">
                  <c:v>1479</c:v>
                </c:pt>
                <c:pt idx="8">
                  <c:v>1500</c:v>
                </c:pt>
                <c:pt idx="9">
                  <c:v>1528</c:v>
                </c:pt>
                <c:pt idx="10">
                  <c:v>1550</c:v>
                </c:pt>
                <c:pt idx="11">
                  <c:v>1571</c:v>
                </c:pt>
                <c:pt idx="12">
                  <c:v>1590</c:v>
                </c:pt>
                <c:pt idx="13">
                  <c:v>1620</c:v>
                </c:pt>
                <c:pt idx="14">
                  <c:v>1650</c:v>
                </c:pt>
                <c:pt idx="15">
                  <c:v>1682</c:v>
                </c:pt>
                <c:pt idx="16">
                  <c:v>1710</c:v>
                </c:pt>
                <c:pt idx="17">
                  <c:v>1735</c:v>
                </c:pt>
                <c:pt idx="18">
                  <c:v>1780</c:v>
                </c:pt>
                <c:pt idx="19">
                  <c:v>1811</c:v>
                </c:pt>
                <c:pt idx="20">
                  <c:v>1840</c:v>
                </c:pt>
                <c:pt idx="21">
                  <c:v>1875</c:v>
                </c:pt>
                <c:pt idx="22">
                  <c:v>1905</c:v>
                </c:pt>
                <c:pt idx="23">
                  <c:v>1940</c:v>
                </c:pt>
                <c:pt idx="24">
                  <c:v>1980</c:v>
                </c:pt>
                <c:pt idx="25">
                  <c:v>2020</c:v>
                </c:pt>
                <c:pt idx="26">
                  <c:v>2107</c:v>
                </c:pt>
                <c:pt idx="27">
                  <c:v>2170</c:v>
                </c:pt>
                <c:pt idx="28">
                  <c:v>2220</c:v>
                </c:pt>
                <c:pt idx="29">
                  <c:v>2280</c:v>
                </c:pt>
                <c:pt idx="30">
                  <c:v>2418</c:v>
                </c:pt>
                <c:pt idx="31">
                  <c:v>2532</c:v>
                </c:pt>
                <c:pt idx="32">
                  <c:v>2590</c:v>
                </c:pt>
                <c:pt idx="33">
                  <c:v>2716</c:v>
                </c:pt>
                <c:pt idx="34">
                  <c:v>2900</c:v>
                </c:pt>
                <c:pt idx="35">
                  <c:v>3000</c:v>
                </c:pt>
                <c:pt idx="36">
                  <c:v>3150</c:v>
                </c:pt>
                <c:pt idx="37">
                  <c:v>3350</c:v>
                </c:pt>
                <c:pt idx="38">
                  <c:v>5880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18000</c:v>
                </c:pt>
              </c:numCache>
            </c:numRef>
          </c:xVal>
          <c:yVal>
            <c:numRef>
              <c:f>'suivi conductimétrie t=20 °exce'!$E$13:$E$90</c:f>
              <c:numCache>
                <c:formatCode>0.000</c:formatCode>
                <c:ptCount val="78"/>
                <c:pt idx="0">
                  <c:v>1.8859999999999999</c:v>
                </c:pt>
                <c:pt idx="1">
                  <c:v>1.877</c:v>
                </c:pt>
                <c:pt idx="2">
                  <c:v>1.8740000000000001</c:v>
                </c:pt>
                <c:pt idx="3">
                  <c:v>1.87</c:v>
                </c:pt>
                <c:pt idx="4">
                  <c:v>1.867</c:v>
                </c:pt>
                <c:pt idx="5">
                  <c:v>1.861</c:v>
                </c:pt>
                <c:pt idx="6">
                  <c:v>1.857</c:v>
                </c:pt>
                <c:pt idx="7">
                  <c:v>1.8520000000000001</c:v>
                </c:pt>
                <c:pt idx="8">
                  <c:v>1.847</c:v>
                </c:pt>
                <c:pt idx="9">
                  <c:v>1.84</c:v>
                </c:pt>
                <c:pt idx="10">
                  <c:v>1.835</c:v>
                </c:pt>
                <c:pt idx="11">
                  <c:v>1.83</c:v>
                </c:pt>
                <c:pt idx="12">
                  <c:v>1.825</c:v>
                </c:pt>
                <c:pt idx="13">
                  <c:v>1.8180000000000001</c:v>
                </c:pt>
                <c:pt idx="14">
                  <c:v>1.8120000000000001</c:v>
                </c:pt>
                <c:pt idx="15">
                  <c:v>1.804</c:v>
                </c:pt>
                <c:pt idx="16">
                  <c:v>1.7969999999999999</c:v>
                </c:pt>
                <c:pt idx="17">
                  <c:v>1.7909999999999999</c:v>
                </c:pt>
                <c:pt idx="18">
                  <c:v>1.7789999999999999</c:v>
                </c:pt>
                <c:pt idx="19">
                  <c:v>1.772</c:v>
                </c:pt>
                <c:pt idx="20" formatCode="General">
                  <c:v>1.764</c:v>
                </c:pt>
                <c:pt idx="21" formatCode="General">
                  <c:v>1.7549999999999999</c:v>
                </c:pt>
                <c:pt idx="22" formatCode="General">
                  <c:v>1.7470000000000001</c:v>
                </c:pt>
                <c:pt idx="23" formatCode="General">
                  <c:v>1.7390000000000001</c:v>
                </c:pt>
                <c:pt idx="24" formatCode="General">
                  <c:v>1.7310000000000001</c:v>
                </c:pt>
                <c:pt idx="25" formatCode="General">
                  <c:v>1.7230000000000001</c:v>
                </c:pt>
                <c:pt idx="26" formatCode="General">
                  <c:v>1.704</c:v>
                </c:pt>
                <c:pt idx="27" formatCode="General">
                  <c:v>1.69</c:v>
                </c:pt>
                <c:pt idx="28" formatCode="General">
                  <c:v>1.6779999999999999</c:v>
                </c:pt>
                <c:pt idx="29" formatCode="General">
                  <c:v>1.665</c:v>
                </c:pt>
                <c:pt idx="30" formatCode="General">
                  <c:v>1.6379999999999999</c:v>
                </c:pt>
                <c:pt idx="31" formatCode="General">
                  <c:v>1.6160000000000001</c:v>
                </c:pt>
                <c:pt idx="32" formatCode="General">
                  <c:v>1.605</c:v>
                </c:pt>
                <c:pt idx="33" formatCode="General">
                  <c:v>1.583</c:v>
                </c:pt>
                <c:pt idx="34" formatCode="General">
                  <c:v>1.55</c:v>
                </c:pt>
                <c:pt idx="35" formatCode="General">
                  <c:v>1.5269999999999999</c:v>
                </c:pt>
                <c:pt idx="36" formatCode="General">
                  <c:v>1.51</c:v>
                </c:pt>
                <c:pt idx="37" formatCode="General">
                  <c:v>1.4810000000000001</c:v>
                </c:pt>
                <c:pt idx="38" formatCode="General">
                  <c:v>1.2190000000000001</c:v>
                </c:pt>
                <c:pt idx="77" formatCode="General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4A-4A74-851F-1C07E638A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09696"/>
        <c:axId val="143711616"/>
      </c:scatterChart>
      <c:valAx>
        <c:axId val="14370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11616"/>
        <c:crosses val="autoZero"/>
        <c:crossBetween val="midCat"/>
      </c:valAx>
      <c:valAx>
        <c:axId val="14371161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t=20 °exce'!$G$12</c:f>
              <c:strCache>
                <c:ptCount val="1"/>
                <c:pt idx="0">
                  <c:v>avancement de la réaction (mol)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t=20 °exce'!$D$13:$D$70</c:f>
              <c:numCache>
                <c:formatCode>General</c:formatCode>
                <c:ptCount val="58"/>
                <c:pt idx="0">
                  <c:v>1377</c:v>
                </c:pt>
                <c:pt idx="1">
                  <c:v>1380</c:v>
                </c:pt>
                <c:pt idx="2">
                  <c:v>1389</c:v>
                </c:pt>
                <c:pt idx="3">
                  <c:v>1404</c:v>
                </c:pt>
                <c:pt idx="4">
                  <c:v>1420</c:v>
                </c:pt>
                <c:pt idx="5">
                  <c:v>1440</c:v>
                </c:pt>
                <c:pt idx="6">
                  <c:v>1463</c:v>
                </c:pt>
                <c:pt idx="7">
                  <c:v>1479</c:v>
                </c:pt>
                <c:pt idx="8">
                  <c:v>1500</c:v>
                </c:pt>
                <c:pt idx="9">
                  <c:v>1528</c:v>
                </c:pt>
                <c:pt idx="10">
                  <c:v>1550</c:v>
                </c:pt>
                <c:pt idx="11">
                  <c:v>1571</c:v>
                </c:pt>
                <c:pt idx="12">
                  <c:v>1590</c:v>
                </c:pt>
                <c:pt idx="13">
                  <c:v>1620</c:v>
                </c:pt>
                <c:pt idx="14">
                  <c:v>1650</c:v>
                </c:pt>
                <c:pt idx="15">
                  <c:v>1682</c:v>
                </c:pt>
                <c:pt idx="16">
                  <c:v>1710</c:v>
                </c:pt>
                <c:pt idx="17">
                  <c:v>1735</c:v>
                </c:pt>
                <c:pt idx="18">
                  <c:v>1780</c:v>
                </c:pt>
                <c:pt idx="19">
                  <c:v>1811</c:v>
                </c:pt>
                <c:pt idx="20">
                  <c:v>1840</c:v>
                </c:pt>
                <c:pt idx="21">
                  <c:v>1875</c:v>
                </c:pt>
                <c:pt idx="22">
                  <c:v>1905</c:v>
                </c:pt>
                <c:pt idx="23">
                  <c:v>1940</c:v>
                </c:pt>
                <c:pt idx="24">
                  <c:v>1980</c:v>
                </c:pt>
                <c:pt idx="25">
                  <c:v>2020</c:v>
                </c:pt>
                <c:pt idx="26">
                  <c:v>2107</c:v>
                </c:pt>
                <c:pt idx="27">
                  <c:v>2170</c:v>
                </c:pt>
                <c:pt idx="28">
                  <c:v>2220</c:v>
                </c:pt>
                <c:pt idx="29">
                  <c:v>2280</c:v>
                </c:pt>
                <c:pt idx="30">
                  <c:v>2418</c:v>
                </c:pt>
                <c:pt idx="31">
                  <c:v>2532</c:v>
                </c:pt>
                <c:pt idx="32">
                  <c:v>2590</c:v>
                </c:pt>
                <c:pt idx="33">
                  <c:v>2716</c:v>
                </c:pt>
                <c:pt idx="34">
                  <c:v>2900</c:v>
                </c:pt>
                <c:pt idx="35">
                  <c:v>3000</c:v>
                </c:pt>
                <c:pt idx="36">
                  <c:v>3150</c:v>
                </c:pt>
                <c:pt idx="37">
                  <c:v>3350</c:v>
                </c:pt>
                <c:pt idx="38">
                  <c:v>5880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xVal>
          <c:yVal>
            <c:numRef>
              <c:f>'suivi conductimétrie t=20 °exce'!$G$13:$G$70</c:f>
              <c:numCache>
                <c:formatCode>0.00E+00</c:formatCode>
                <c:ptCount val="58"/>
                <c:pt idx="0">
                  <c:v>6.8085106382978794E-6</c:v>
                </c:pt>
                <c:pt idx="1">
                  <c:v>7.7659574468085064E-6</c:v>
                </c:pt>
                <c:pt idx="2">
                  <c:v>8.085106382978708E-6</c:v>
                </c:pt>
                <c:pt idx="3">
                  <c:v>8.5106382978723243E-6</c:v>
                </c:pt>
                <c:pt idx="4">
                  <c:v>8.8297872340425496E-6</c:v>
                </c:pt>
                <c:pt idx="5">
                  <c:v>9.4680851063829766E-6</c:v>
                </c:pt>
                <c:pt idx="6">
                  <c:v>9.8936170212765912E-6</c:v>
                </c:pt>
                <c:pt idx="7">
                  <c:v>1.0425531914893602E-5</c:v>
                </c:pt>
                <c:pt idx="8">
                  <c:v>1.0957446808510636E-5</c:v>
                </c:pt>
                <c:pt idx="9">
                  <c:v>1.1702127659574454E-5</c:v>
                </c:pt>
                <c:pt idx="10">
                  <c:v>1.223404255319149E-5</c:v>
                </c:pt>
                <c:pt idx="11">
                  <c:v>1.2765957446808497E-5</c:v>
                </c:pt>
                <c:pt idx="12">
                  <c:v>1.3297872340425532E-5</c:v>
                </c:pt>
                <c:pt idx="13">
                  <c:v>1.404255319148935E-5</c:v>
                </c:pt>
                <c:pt idx="14">
                  <c:v>1.4680851063829777E-5</c:v>
                </c:pt>
                <c:pt idx="15">
                  <c:v>1.5531914893617013E-5</c:v>
                </c:pt>
                <c:pt idx="16">
                  <c:v>1.6276595744680853E-5</c:v>
                </c:pt>
                <c:pt idx="17">
                  <c:v>1.691489361702128E-5</c:v>
                </c:pt>
                <c:pt idx="18">
                  <c:v>1.819148936170213E-5</c:v>
                </c:pt>
                <c:pt idx="19">
                  <c:v>1.8936170212765953E-5</c:v>
                </c:pt>
                <c:pt idx="20">
                  <c:v>1.9787234042553182E-5</c:v>
                </c:pt>
                <c:pt idx="21">
                  <c:v>2.0744680851063835E-5</c:v>
                </c:pt>
                <c:pt idx="22">
                  <c:v>2.1595744680851047E-5</c:v>
                </c:pt>
                <c:pt idx="23">
                  <c:v>2.2446808510638283E-5</c:v>
                </c:pt>
                <c:pt idx="24">
                  <c:v>2.3297872340425516E-5</c:v>
                </c:pt>
                <c:pt idx="25">
                  <c:v>2.4148936170212752E-5</c:v>
                </c:pt>
                <c:pt idx="26">
                  <c:v>2.6170212765957449E-5</c:v>
                </c:pt>
                <c:pt idx="27">
                  <c:v>2.7659574468085105E-5</c:v>
                </c:pt>
                <c:pt idx="28">
                  <c:v>2.8936170212765963E-5</c:v>
                </c:pt>
                <c:pt idx="29">
                  <c:v>3.0319148936170206E-5</c:v>
                </c:pt>
                <c:pt idx="30">
                  <c:v>3.3191489361702136E-5</c:v>
                </c:pt>
                <c:pt idx="31">
                  <c:v>3.5531914893617004E-5</c:v>
                </c:pt>
                <c:pt idx="32">
                  <c:v>3.6702127659574469E-5</c:v>
                </c:pt>
                <c:pt idx="33">
                  <c:v>3.9042553191489364E-5</c:v>
                </c:pt>
                <c:pt idx="34">
                  <c:v>4.2553191489361691E-5</c:v>
                </c:pt>
                <c:pt idx="35">
                  <c:v>4.4999999999999996E-5</c:v>
                </c:pt>
                <c:pt idx="36">
                  <c:v>4.6808510638297864E-5</c:v>
                </c:pt>
                <c:pt idx="37">
                  <c:v>4.9893617021276586E-5</c:v>
                </c:pt>
                <c:pt idx="38">
                  <c:v>7.7765957446808507E-5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2B-4279-B345-DB6DDF951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71904"/>
        <c:axId val="143774080"/>
      </c:scatterChart>
      <c:valAx>
        <c:axId val="14377190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74080"/>
        <c:crosses val="autoZero"/>
        <c:crossBetween val="midCat"/>
      </c:valAx>
      <c:valAx>
        <c:axId val="14377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7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t=20 °exce'!$H$13</c:f>
              <c:strCache>
                <c:ptCount val="1"/>
              </c:strCache>
            </c:strRef>
          </c:tx>
          <c:yVal>
            <c:numRef>
              <c:f>'suivi conductimétrie t=20 °exce'!$H$14:$H$49</c:f>
              <c:numCache>
                <c:formatCode>0.00E+00</c:formatCode>
                <c:ptCount val="3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1C-46C8-86C6-6470E408A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80096"/>
        <c:axId val="143872000"/>
      </c:scatterChart>
      <c:valAx>
        <c:axId val="14378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872000"/>
        <c:crosses val="autoZero"/>
        <c:crossBetween val="midCat"/>
      </c:valAx>
      <c:valAx>
        <c:axId val="14387200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43780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t=20 °C)'!$E$12</c:f>
              <c:strCache>
                <c:ptCount val="1"/>
                <c:pt idx="0">
                  <c:v>conductivité mesurée :   σ (en mS/cm)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t=20 °C)'!$D$13:$D$125</c:f>
              <c:numCache>
                <c:formatCode>General</c:formatCode>
                <c:ptCount val="113"/>
                <c:pt idx="0">
                  <c:v>13</c:v>
                </c:pt>
                <c:pt idx="1">
                  <c:v>27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93</c:v>
                </c:pt>
                <c:pt idx="6">
                  <c:v>120</c:v>
                </c:pt>
                <c:pt idx="7">
                  <c:v>155</c:v>
                </c:pt>
                <c:pt idx="8">
                  <c:v>180</c:v>
                </c:pt>
                <c:pt idx="9">
                  <c:v>210</c:v>
                </c:pt>
                <c:pt idx="10">
                  <c:v>240</c:v>
                </c:pt>
                <c:pt idx="11">
                  <c:v>270</c:v>
                </c:pt>
                <c:pt idx="12">
                  <c:v>309</c:v>
                </c:pt>
                <c:pt idx="13">
                  <c:v>335</c:v>
                </c:pt>
                <c:pt idx="14">
                  <c:v>370</c:v>
                </c:pt>
                <c:pt idx="15">
                  <c:v>396</c:v>
                </c:pt>
                <c:pt idx="16">
                  <c:v>425</c:v>
                </c:pt>
                <c:pt idx="17">
                  <c:v>458</c:v>
                </c:pt>
                <c:pt idx="18">
                  <c:v>508</c:v>
                </c:pt>
                <c:pt idx="19">
                  <c:v>540</c:v>
                </c:pt>
                <c:pt idx="20">
                  <c:v>570</c:v>
                </c:pt>
                <c:pt idx="21">
                  <c:v>607</c:v>
                </c:pt>
                <c:pt idx="22">
                  <c:v>635</c:v>
                </c:pt>
                <c:pt idx="23">
                  <c:v>660</c:v>
                </c:pt>
                <c:pt idx="24">
                  <c:v>694</c:v>
                </c:pt>
                <c:pt idx="25">
                  <c:v>720</c:v>
                </c:pt>
                <c:pt idx="26">
                  <c:v>750</c:v>
                </c:pt>
                <c:pt idx="27">
                  <c:v>780</c:v>
                </c:pt>
                <c:pt idx="28">
                  <c:v>818</c:v>
                </c:pt>
                <c:pt idx="29">
                  <c:v>850</c:v>
                </c:pt>
                <c:pt idx="30">
                  <c:v>910</c:v>
                </c:pt>
                <c:pt idx="31">
                  <c:v>970</c:v>
                </c:pt>
                <c:pt idx="32">
                  <c:v>1025</c:v>
                </c:pt>
                <c:pt idx="33">
                  <c:v>1080</c:v>
                </c:pt>
                <c:pt idx="34">
                  <c:v>1149</c:v>
                </c:pt>
                <c:pt idx="35">
                  <c:v>1200</c:v>
                </c:pt>
                <c:pt idx="36">
                  <c:v>1270</c:v>
                </c:pt>
                <c:pt idx="37">
                  <c:v>1320</c:v>
                </c:pt>
                <c:pt idx="38">
                  <c:v>1410</c:v>
                </c:pt>
                <c:pt idx="39">
                  <c:v>1445</c:v>
                </c:pt>
                <c:pt idx="40">
                  <c:v>1500</c:v>
                </c:pt>
                <c:pt idx="41">
                  <c:v>1560</c:v>
                </c:pt>
                <c:pt idx="42">
                  <c:v>1590</c:v>
                </c:pt>
                <c:pt idx="43">
                  <c:v>1625</c:v>
                </c:pt>
                <c:pt idx="44">
                  <c:v>1655</c:v>
                </c:pt>
                <c:pt idx="45">
                  <c:v>1695</c:v>
                </c:pt>
                <c:pt idx="46">
                  <c:v>1740</c:v>
                </c:pt>
                <c:pt idx="47">
                  <c:v>1800</c:v>
                </c:pt>
                <c:pt idx="48">
                  <c:v>1885</c:v>
                </c:pt>
                <c:pt idx="49">
                  <c:v>1950</c:v>
                </c:pt>
                <c:pt idx="50">
                  <c:v>2030</c:v>
                </c:pt>
                <c:pt idx="51">
                  <c:v>2100</c:v>
                </c:pt>
                <c:pt idx="52">
                  <c:v>2160</c:v>
                </c:pt>
                <c:pt idx="53">
                  <c:v>2230</c:v>
                </c:pt>
                <c:pt idx="54">
                  <c:v>2423</c:v>
                </c:pt>
                <c:pt idx="55">
                  <c:v>2540</c:v>
                </c:pt>
                <c:pt idx="56">
                  <c:v>2720</c:v>
                </c:pt>
                <c:pt idx="57">
                  <c:v>2913</c:v>
                </c:pt>
                <c:pt idx="58">
                  <c:v>3350</c:v>
                </c:pt>
                <c:pt idx="59">
                  <c:v>3650</c:v>
                </c:pt>
                <c:pt idx="60">
                  <c:v>3900</c:v>
                </c:pt>
                <c:pt idx="61">
                  <c:v>4500</c:v>
                </c:pt>
                <c:pt idx="62">
                  <c:v>5100</c:v>
                </c:pt>
                <c:pt idx="63">
                  <c:v>5700</c:v>
                </c:pt>
                <c:pt idx="64">
                  <c:v>5930</c:v>
                </c:pt>
                <c:pt idx="65">
                  <c:v>6360</c:v>
                </c:pt>
                <c:pt idx="66">
                  <c:v>6840</c:v>
                </c:pt>
                <c:pt idx="67">
                  <c:v>7320</c:v>
                </c:pt>
                <c:pt idx="68">
                  <c:v>7800</c:v>
                </c:pt>
                <c:pt idx="69">
                  <c:v>8280</c:v>
                </c:pt>
                <c:pt idx="70">
                  <c:v>8760</c:v>
                </c:pt>
                <c:pt idx="71">
                  <c:v>9240</c:v>
                </c:pt>
                <c:pt idx="72">
                  <c:v>9720</c:v>
                </c:pt>
                <c:pt idx="73">
                  <c:v>10200</c:v>
                </c:pt>
                <c:pt idx="74">
                  <c:v>10680</c:v>
                </c:pt>
                <c:pt idx="75">
                  <c:v>11160</c:v>
                </c:pt>
                <c:pt idx="76">
                  <c:v>11640</c:v>
                </c:pt>
                <c:pt idx="77">
                  <c:v>12120</c:v>
                </c:pt>
                <c:pt idx="78">
                  <c:v>12600</c:v>
                </c:pt>
                <c:pt idx="79">
                  <c:v>13080</c:v>
                </c:pt>
                <c:pt idx="80">
                  <c:v>13560</c:v>
                </c:pt>
                <c:pt idx="81">
                  <c:v>14040</c:v>
                </c:pt>
                <c:pt idx="82">
                  <c:v>14520</c:v>
                </c:pt>
                <c:pt idx="83">
                  <c:v>15000</c:v>
                </c:pt>
                <c:pt idx="84">
                  <c:v>15480</c:v>
                </c:pt>
                <c:pt idx="85">
                  <c:v>15960</c:v>
                </c:pt>
                <c:pt idx="86">
                  <c:v>16440</c:v>
                </c:pt>
                <c:pt idx="87">
                  <c:v>16920</c:v>
                </c:pt>
                <c:pt idx="88">
                  <c:v>17400</c:v>
                </c:pt>
                <c:pt idx="89">
                  <c:v>17880</c:v>
                </c:pt>
                <c:pt idx="90">
                  <c:v>18000</c:v>
                </c:pt>
                <c:pt idx="91">
                  <c:v>18480</c:v>
                </c:pt>
                <c:pt idx="92">
                  <c:v>18960</c:v>
                </c:pt>
                <c:pt idx="93">
                  <c:v>19440</c:v>
                </c:pt>
                <c:pt idx="94">
                  <c:v>19920</c:v>
                </c:pt>
                <c:pt idx="95">
                  <c:v>20400</c:v>
                </c:pt>
                <c:pt idx="96">
                  <c:v>20880</c:v>
                </c:pt>
                <c:pt idx="97">
                  <c:v>21360</c:v>
                </c:pt>
                <c:pt idx="98">
                  <c:v>21840</c:v>
                </c:pt>
                <c:pt idx="99">
                  <c:v>22320</c:v>
                </c:pt>
                <c:pt idx="100">
                  <c:v>22800</c:v>
                </c:pt>
                <c:pt idx="101">
                  <c:v>23280</c:v>
                </c:pt>
                <c:pt idx="102">
                  <c:v>23760</c:v>
                </c:pt>
                <c:pt idx="103">
                  <c:v>24240</c:v>
                </c:pt>
                <c:pt idx="104">
                  <c:v>24720</c:v>
                </c:pt>
                <c:pt idx="105">
                  <c:v>25200</c:v>
                </c:pt>
                <c:pt idx="106">
                  <c:v>25680</c:v>
                </c:pt>
              </c:numCache>
            </c:numRef>
          </c:xVal>
          <c:yVal>
            <c:numRef>
              <c:f>'suivi conductimétrie t=20 °C)'!$E$13:$E$125</c:f>
              <c:numCache>
                <c:formatCode>0.000</c:formatCode>
                <c:ptCount val="113"/>
                <c:pt idx="0">
                  <c:v>1.944</c:v>
                </c:pt>
                <c:pt idx="1">
                  <c:v>1.9370000000000001</c:v>
                </c:pt>
                <c:pt idx="2">
                  <c:v>1.9319999999999999</c:v>
                </c:pt>
                <c:pt idx="3">
                  <c:v>1.9279999999999999</c:v>
                </c:pt>
                <c:pt idx="4">
                  <c:v>1.925</c:v>
                </c:pt>
                <c:pt idx="5">
                  <c:v>1.913</c:v>
                </c:pt>
                <c:pt idx="6">
                  <c:v>1.903</c:v>
                </c:pt>
                <c:pt idx="7">
                  <c:v>1.891</c:v>
                </c:pt>
                <c:pt idx="8">
                  <c:v>1.883</c:v>
                </c:pt>
                <c:pt idx="9">
                  <c:v>1.8740000000000001</c:v>
                </c:pt>
                <c:pt idx="10">
                  <c:v>1.863</c:v>
                </c:pt>
                <c:pt idx="11">
                  <c:v>1.8540000000000001</c:v>
                </c:pt>
                <c:pt idx="12">
                  <c:v>1.84</c:v>
                </c:pt>
                <c:pt idx="13">
                  <c:v>1.8320000000000001</c:v>
                </c:pt>
                <c:pt idx="14">
                  <c:v>1.821</c:v>
                </c:pt>
                <c:pt idx="15">
                  <c:v>1.8140000000000001</c:v>
                </c:pt>
                <c:pt idx="16">
                  <c:v>1.806</c:v>
                </c:pt>
                <c:pt idx="17">
                  <c:v>1.796</c:v>
                </c:pt>
                <c:pt idx="18">
                  <c:v>1.782</c:v>
                </c:pt>
                <c:pt idx="19">
                  <c:v>1.772</c:v>
                </c:pt>
                <c:pt idx="20" formatCode="General">
                  <c:v>1.7629999999999999</c:v>
                </c:pt>
                <c:pt idx="21" formatCode="General">
                  <c:v>1.7529999999999999</c:v>
                </c:pt>
                <c:pt idx="22" formatCode="General">
                  <c:v>1.7450000000000001</c:v>
                </c:pt>
                <c:pt idx="23" formatCode="General">
                  <c:v>1.738</c:v>
                </c:pt>
                <c:pt idx="24" formatCode="General">
                  <c:v>1.728</c:v>
                </c:pt>
                <c:pt idx="25" formatCode="General">
                  <c:v>1.7210000000000001</c:v>
                </c:pt>
                <c:pt idx="26" formatCode="General">
                  <c:v>1.7130000000000001</c:v>
                </c:pt>
                <c:pt idx="27" formatCode="General">
                  <c:v>1.706</c:v>
                </c:pt>
                <c:pt idx="28" formatCode="General">
                  <c:v>1.696</c:v>
                </c:pt>
                <c:pt idx="29" formatCode="General">
                  <c:v>1.6870000000000001</c:v>
                </c:pt>
                <c:pt idx="30" formatCode="General">
                  <c:v>1.6719999999999999</c:v>
                </c:pt>
                <c:pt idx="31" formatCode="General">
                  <c:v>1.655</c:v>
                </c:pt>
                <c:pt idx="32" formatCode="General">
                  <c:v>1.641</c:v>
                </c:pt>
                <c:pt idx="33" formatCode="General">
                  <c:v>1.627</c:v>
                </c:pt>
                <c:pt idx="34" formatCode="General">
                  <c:v>1.6080000000000001</c:v>
                </c:pt>
                <c:pt idx="35" formatCode="General">
                  <c:v>1.595</c:v>
                </c:pt>
                <c:pt idx="36" formatCode="General">
                  <c:v>1.581</c:v>
                </c:pt>
                <c:pt idx="37" formatCode="General">
                  <c:v>1.5969</c:v>
                </c:pt>
                <c:pt idx="38" formatCode="General">
                  <c:v>1.5489999999999999</c:v>
                </c:pt>
                <c:pt idx="39" formatCode="General">
                  <c:v>1.5409999999999999</c:v>
                </c:pt>
                <c:pt idx="40" formatCode="General">
                  <c:v>1.5289999999999999</c:v>
                </c:pt>
                <c:pt idx="41" formatCode="General">
                  <c:v>1.516</c:v>
                </c:pt>
                <c:pt idx="42" formatCode="General">
                  <c:v>1.5169999999999999</c:v>
                </c:pt>
                <c:pt idx="43" formatCode="General">
                  <c:v>1.502</c:v>
                </c:pt>
                <c:pt idx="44" formatCode="General">
                  <c:v>1.496</c:v>
                </c:pt>
                <c:pt idx="45" formatCode="General">
                  <c:v>1.486</c:v>
                </c:pt>
                <c:pt idx="46" formatCode="General">
                  <c:v>1.478</c:v>
                </c:pt>
                <c:pt idx="47" formatCode="General">
                  <c:v>1.466</c:v>
                </c:pt>
                <c:pt idx="48" formatCode="General">
                  <c:v>1.4490000000000001</c:v>
                </c:pt>
                <c:pt idx="49" formatCode="General">
                  <c:v>1.4359999999999999</c:v>
                </c:pt>
                <c:pt idx="50" formatCode="General">
                  <c:v>1.421</c:v>
                </c:pt>
                <c:pt idx="51" formatCode="General">
                  <c:v>1.407</c:v>
                </c:pt>
                <c:pt idx="52" formatCode="General">
                  <c:v>1.3973</c:v>
                </c:pt>
                <c:pt idx="53" formatCode="General">
                  <c:v>1.385</c:v>
                </c:pt>
                <c:pt idx="54" formatCode="General">
                  <c:v>1.353</c:v>
                </c:pt>
                <c:pt idx="55" formatCode="General">
                  <c:v>1.3340000000000001</c:v>
                </c:pt>
                <c:pt idx="56" formatCode="General">
                  <c:v>1.306</c:v>
                </c:pt>
                <c:pt idx="57" formatCode="General">
                  <c:v>1.2769999999999999</c:v>
                </c:pt>
                <c:pt idx="58" formatCode="General">
                  <c:v>1.216</c:v>
                </c:pt>
                <c:pt idx="59" formatCode="General">
                  <c:v>1.18</c:v>
                </c:pt>
                <c:pt idx="60" formatCode="General">
                  <c:v>1.1499999999999999</c:v>
                </c:pt>
                <c:pt idx="61" formatCode="General">
                  <c:v>1.1000000000000001</c:v>
                </c:pt>
                <c:pt idx="62" formatCode="General">
                  <c:v>1.05</c:v>
                </c:pt>
                <c:pt idx="63" formatCode="General">
                  <c:v>0.99</c:v>
                </c:pt>
                <c:pt idx="64" formatCode="General">
                  <c:v>0.96099999999999997</c:v>
                </c:pt>
                <c:pt idx="65">
                  <c:v>0.93024799999999996</c:v>
                </c:pt>
                <c:pt idx="66">
                  <c:v>0.90048006399999991</c:v>
                </c:pt>
                <c:pt idx="67">
                  <c:v>0.87166470195199985</c:v>
                </c:pt>
                <c:pt idx="68">
                  <c:v>0.84377143148953582</c:v>
                </c:pt>
                <c:pt idx="69">
                  <c:v>0.81677074568187069</c:v>
                </c:pt>
                <c:pt idx="70">
                  <c:v>0.79063408182005079</c:v>
                </c:pt>
                <c:pt idx="71">
                  <c:v>0.76533379120180911</c:v>
                </c:pt>
                <c:pt idx="72">
                  <c:v>0.74084310988335123</c:v>
                </c:pt>
                <c:pt idx="73">
                  <c:v>0.71713613036708401</c:v>
                </c:pt>
                <c:pt idx="74">
                  <c:v>0.69418777419533728</c:v>
                </c:pt>
                <c:pt idx="75">
                  <c:v>0.67197376542108644</c:v>
                </c:pt>
                <c:pt idx="76">
                  <c:v>0.65047060492761166</c:v>
                </c:pt>
                <c:pt idx="77">
                  <c:v>0.62965554556992809</c:v>
                </c:pt>
                <c:pt idx="78">
                  <c:v>0.60950656811169035</c:v>
                </c:pt>
                <c:pt idx="79">
                  <c:v>0.59000235793211619</c:v>
                </c:pt>
                <c:pt idx="80">
                  <c:v>0.57112228247828845</c:v>
                </c:pt>
                <c:pt idx="81">
                  <c:v>0.55284636943898324</c:v>
                </c:pt>
                <c:pt idx="82">
                  <c:v>0.53515528561693582</c:v>
                </c:pt>
                <c:pt idx="83">
                  <c:v>0.53408497504570196</c:v>
                </c:pt>
                <c:pt idx="84">
                  <c:v>0.53301680509561056</c:v>
                </c:pt>
                <c:pt idx="85">
                  <c:v>0.53195077148541936</c:v>
                </c:pt>
                <c:pt idx="86">
                  <c:v>0.53088686994244849</c:v>
                </c:pt>
                <c:pt idx="87">
                  <c:v>0.52982509620256357</c:v>
                </c:pt>
                <c:pt idx="88">
                  <c:v>0.5287654460101584</c:v>
                </c:pt>
                <c:pt idx="89">
                  <c:v>0.52770791511813808</c:v>
                </c:pt>
                <c:pt idx="90" formatCode="General">
                  <c:v>0.51</c:v>
                </c:pt>
                <c:pt idx="91">
                  <c:v>0.51</c:v>
                </c:pt>
                <c:pt idx="92">
                  <c:v>0.51</c:v>
                </c:pt>
                <c:pt idx="93">
                  <c:v>0.51</c:v>
                </c:pt>
                <c:pt idx="94">
                  <c:v>0.51</c:v>
                </c:pt>
                <c:pt idx="95">
                  <c:v>0.51</c:v>
                </c:pt>
                <c:pt idx="96">
                  <c:v>0.51</c:v>
                </c:pt>
                <c:pt idx="97">
                  <c:v>0.51</c:v>
                </c:pt>
                <c:pt idx="98">
                  <c:v>0.51</c:v>
                </c:pt>
                <c:pt idx="99">
                  <c:v>0.51</c:v>
                </c:pt>
                <c:pt idx="100">
                  <c:v>0.51</c:v>
                </c:pt>
                <c:pt idx="101">
                  <c:v>0.51</c:v>
                </c:pt>
                <c:pt idx="102">
                  <c:v>0.51</c:v>
                </c:pt>
                <c:pt idx="103">
                  <c:v>0.51</c:v>
                </c:pt>
                <c:pt idx="104">
                  <c:v>0.51</c:v>
                </c:pt>
                <c:pt idx="105">
                  <c:v>0.51</c:v>
                </c:pt>
                <c:pt idx="106">
                  <c:v>0.51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DF-48D3-AFF8-BBD65368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36224"/>
        <c:axId val="144038144"/>
      </c:scatterChart>
      <c:valAx>
        <c:axId val="14403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038144"/>
        <c:crosses val="autoZero"/>
        <c:crossBetween val="midCat"/>
      </c:valAx>
      <c:valAx>
        <c:axId val="144038144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036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t=20 °C)'!$G$12</c:f>
              <c:strCache>
                <c:ptCount val="1"/>
                <c:pt idx="0">
                  <c:v>avancement de la réaction (mol)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'suivi conductimétrie t=20 °C)'!$D$13:$D$119</c:f>
              <c:numCache>
                <c:formatCode>General</c:formatCode>
                <c:ptCount val="107"/>
                <c:pt idx="0">
                  <c:v>13</c:v>
                </c:pt>
                <c:pt idx="1">
                  <c:v>27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93</c:v>
                </c:pt>
                <c:pt idx="6">
                  <c:v>120</c:v>
                </c:pt>
                <c:pt idx="7">
                  <c:v>155</c:v>
                </c:pt>
                <c:pt idx="8">
                  <c:v>180</c:v>
                </c:pt>
                <c:pt idx="9">
                  <c:v>210</c:v>
                </c:pt>
                <c:pt idx="10">
                  <c:v>240</c:v>
                </c:pt>
                <c:pt idx="11">
                  <c:v>270</c:v>
                </c:pt>
                <c:pt idx="12">
                  <c:v>309</c:v>
                </c:pt>
                <c:pt idx="13">
                  <c:v>335</c:v>
                </c:pt>
                <c:pt idx="14">
                  <c:v>370</c:v>
                </c:pt>
                <c:pt idx="15">
                  <c:v>396</c:v>
                </c:pt>
                <c:pt idx="16">
                  <c:v>425</c:v>
                </c:pt>
                <c:pt idx="17">
                  <c:v>458</c:v>
                </c:pt>
                <c:pt idx="18">
                  <c:v>508</c:v>
                </c:pt>
                <c:pt idx="19">
                  <c:v>540</c:v>
                </c:pt>
                <c:pt idx="20">
                  <c:v>570</c:v>
                </c:pt>
                <c:pt idx="21">
                  <c:v>607</c:v>
                </c:pt>
                <c:pt idx="22">
                  <c:v>635</c:v>
                </c:pt>
                <c:pt idx="23">
                  <c:v>660</c:v>
                </c:pt>
                <c:pt idx="24">
                  <c:v>694</c:v>
                </c:pt>
                <c:pt idx="25">
                  <c:v>720</c:v>
                </c:pt>
                <c:pt idx="26">
                  <c:v>750</c:v>
                </c:pt>
                <c:pt idx="27">
                  <c:v>780</c:v>
                </c:pt>
                <c:pt idx="28">
                  <c:v>818</c:v>
                </c:pt>
                <c:pt idx="29">
                  <c:v>850</c:v>
                </c:pt>
                <c:pt idx="30">
                  <c:v>910</c:v>
                </c:pt>
                <c:pt idx="31">
                  <c:v>970</c:v>
                </c:pt>
                <c:pt idx="32">
                  <c:v>1025</c:v>
                </c:pt>
                <c:pt idx="33">
                  <c:v>1080</c:v>
                </c:pt>
                <c:pt idx="34">
                  <c:v>1149</c:v>
                </c:pt>
                <c:pt idx="35">
                  <c:v>1200</c:v>
                </c:pt>
                <c:pt idx="36">
                  <c:v>1270</c:v>
                </c:pt>
                <c:pt idx="37">
                  <c:v>1320</c:v>
                </c:pt>
                <c:pt idx="38">
                  <c:v>1410</c:v>
                </c:pt>
                <c:pt idx="39">
                  <c:v>1445</c:v>
                </c:pt>
                <c:pt idx="40">
                  <c:v>1500</c:v>
                </c:pt>
                <c:pt idx="41">
                  <c:v>1560</c:v>
                </c:pt>
                <c:pt idx="42">
                  <c:v>1590</c:v>
                </c:pt>
                <c:pt idx="43">
                  <c:v>1625</c:v>
                </c:pt>
                <c:pt idx="44">
                  <c:v>1655</c:v>
                </c:pt>
                <c:pt idx="45">
                  <c:v>1695</c:v>
                </c:pt>
                <c:pt idx="46">
                  <c:v>1740</c:v>
                </c:pt>
                <c:pt idx="47">
                  <c:v>1800</c:v>
                </c:pt>
                <c:pt idx="48">
                  <c:v>1885</c:v>
                </c:pt>
                <c:pt idx="49">
                  <c:v>1950</c:v>
                </c:pt>
                <c:pt idx="50">
                  <c:v>2030</c:v>
                </c:pt>
                <c:pt idx="51">
                  <c:v>2100</c:v>
                </c:pt>
                <c:pt idx="52">
                  <c:v>2160</c:v>
                </c:pt>
                <c:pt idx="53">
                  <c:v>2230</c:v>
                </c:pt>
                <c:pt idx="54">
                  <c:v>2423</c:v>
                </c:pt>
                <c:pt idx="55">
                  <c:v>2540</c:v>
                </c:pt>
                <c:pt idx="56">
                  <c:v>2720</c:v>
                </c:pt>
                <c:pt idx="57">
                  <c:v>2913</c:v>
                </c:pt>
                <c:pt idx="58">
                  <c:v>3350</c:v>
                </c:pt>
                <c:pt idx="59">
                  <c:v>3650</c:v>
                </c:pt>
                <c:pt idx="60">
                  <c:v>3900</c:v>
                </c:pt>
                <c:pt idx="61">
                  <c:v>4500</c:v>
                </c:pt>
                <c:pt idx="62">
                  <c:v>5100</c:v>
                </c:pt>
                <c:pt idx="63">
                  <c:v>5700</c:v>
                </c:pt>
                <c:pt idx="64">
                  <c:v>5930</c:v>
                </c:pt>
                <c:pt idx="65">
                  <c:v>6360</c:v>
                </c:pt>
                <c:pt idx="66">
                  <c:v>6840</c:v>
                </c:pt>
                <c:pt idx="67">
                  <c:v>7320</c:v>
                </c:pt>
                <c:pt idx="68">
                  <c:v>7800</c:v>
                </c:pt>
                <c:pt idx="69">
                  <c:v>8280</c:v>
                </c:pt>
                <c:pt idx="70">
                  <c:v>8760</c:v>
                </c:pt>
                <c:pt idx="71">
                  <c:v>9240</c:v>
                </c:pt>
                <c:pt idx="72">
                  <c:v>9720</c:v>
                </c:pt>
                <c:pt idx="73">
                  <c:v>10200</c:v>
                </c:pt>
                <c:pt idx="74">
                  <c:v>10680</c:v>
                </c:pt>
                <c:pt idx="75">
                  <c:v>11160</c:v>
                </c:pt>
                <c:pt idx="76">
                  <c:v>11640</c:v>
                </c:pt>
                <c:pt idx="77">
                  <c:v>12120</c:v>
                </c:pt>
                <c:pt idx="78">
                  <c:v>12600</c:v>
                </c:pt>
                <c:pt idx="79">
                  <c:v>13080</c:v>
                </c:pt>
                <c:pt idx="80">
                  <c:v>13560</c:v>
                </c:pt>
                <c:pt idx="81">
                  <c:v>14040</c:v>
                </c:pt>
                <c:pt idx="82">
                  <c:v>14520</c:v>
                </c:pt>
                <c:pt idx="83">
                  <c:v>15000</c:v>
                </c:pt>
                <c:pt idx="84">
                  <c:v>15480</c:v>
                </c:pt>
                <c:pt idx="85">
                  <c:v>15960</c:v>
                </c:pt>
                <c:pt idx="86">
                  <c:v>16440</c:v>
                </c:pt>
                <c:pt idx="87">
                  <c:v>16920</c:v>
                </c:pt>
                <c:pt idx="88">
                  <c:v>17400</c:v>
                </c:pt>
                <c:pt idx="89">
                  <c:v>17880</c:v>
                </c:pt>
                <c:pt idx="90">
                  <c:v>18000</c:v>
                </c:pt>
                <c:pt idx="91">
                  <c:v>18480</c:v>
                </c:pt>
                <c:pt idx="92">
                  <c:v>18960</c:v>
                </c:pt>
                <c:pt idx="93">
                  <c:v>19440</c:v>
                </c:pt>
                <c:pt idx="94">
                  <c:v>19920</c:v>
                </c:pt>
                <c:pt idx="95">
                  <c:v>20400</c:v>
                </c:pt>
                <c:pt idx="96">
                  <c:v>20880</c:v>
                </c:pt>
                <c:pt idx="97">
                  <c:v>21360</c:v>
                </c:pt>
                <c:pt idx="98">
                  <c:v>21840</c:v>
                </c:pt>
                <c:pt idx="99">
                  <c:v>22320</c:v>
                </c:pt>
                <c:pt idx="100">
                  <c:v>22800</c:v>
                </c:pt>
                <c:pt idx="101">
                  <c:v>23280</c:v>
                </c:pt>
                <c:pt idx="102">
                  <c:v>23760</c:v>
                </c:pt>
                <c:pt idx="103">
                  <c:v>24240</c:v>
                </c:pt>
                <c:pt idx="104">
                  <c:v>24720</c:v>
                </c:pt>
                <c:pt idx="105">
                  <c:v>25200</c:v>
                </c:pt>
                <c:pt idx="106">
                  <c:v>25680</c:v>
                </c:pt>
              </c:numCache>
            </c:numRef>
          </c:xVal>
          <c:yVal>
            <c:numRef>
              <c:f>'suivi conductimétrie t=20 °C)'!$G$13:$G$119</c:f>
              <c:numCache>
                <c:formatCode>0.00E+00</c:formatCode>
                <c:ptCount val="107"/>
                <c:pt idx="0">
                  <c:v>4.2553191489361741E-7</c:v>
                </c:pt>
                <c:pt idx="1">
                  <c:v>9.2198581560282977E-7</c:v>
                </c:pt>
                <c:pt idx="2">
                  <c:v>1.2765957446808521E-6</c:v>
                </c:pt>
                <c:pt idx="3">
                  <c:v>1.5602836879432641E-6</c:v>
                </c:pt>
                <c:pt idx="4">
                  <c:v>1.7730496453900646E-6</c:v>
                </c:pt>
                <c:pt idx="5">
                  <c:v>2.6241134751772995E-6</c:v>
                </c:pt>
                <c:pt idx="6">
                  <c:v>3.3333333333333287E-6</c:v>
                </c:pt>
                <c:pt idx="7">
                  <c:v>4.1843971631205634E-6</c:v>
                </c:pt>
                <c:pt idx="8">
                  <c:v>4.7517730496453865E-6</c:v>
                </c:pt>
                <c:pt idx="9">
                  <c:v>5.390070921985805E-6</c:v>
                </c:pt>
                <c:pt idx="10">
                  <c:v>6.170212765957444E-6</c:v>
                </c:pt>
                <c:pt idx="11">
                  <c:v>6.8085106382978633E-6</c:v>
                </c:pt>
                <c:pt idx="12">
                  <c:v>7.8014184397163028E-6</c:v>
                </c:pt>
                <c:pt idx="13">
                  <c:v>8.3687943262411268E-6</c:v>
                </c:pt>
                <c:pt idx="14">
                  <c:v>9.1489361702127665E-6</c:v>
                </c:pt>
                <c:pt idx="15">
                  <c:v>9.645390070921979E-6</c:v>
                </c:pt>
                <c:pt idx="16">
                  <c:v>1.0212765957446803E-5</c:v>
                </c:pt>
                <c:pt idx="17">
                  <c:v>1.092198581560283E-5</c:v>
                </c:pt>
                <c:pt idx="18">
                  <c:v>1.1914893617021272E-5</c:v>
                </c:pt>
                <c:pt idx="19">
                  <c:v>1.2624113475177302E-5</c:v>
                </c:pt>
                <c:pt idx="20">
                  <c:v>1.3262411347517735E-5</c:v>
                </c:pt>
                <c:pt idx="21">
                  <c:v>1.3971631205673764E-5</c:v>
                </c:pt>
                <c:pt idx="22">
                  <c:v>1.4539007092198571E-5</c:v>
                </c:pt>
                <c:pt idx="23">
                  <c:v>1.50354609929078E-5</c:v>
                </c:pt>
                <c:pt idx="24">
                  <c:v>1.5744680851063828E-5</c:v>
                </c:pt>
                <c:pt idx="25">
                  <c:v>1.6241134751773039E-5</c:v>
                </c:pt>
                <c:pt idx="26">
                  <c:v>1.6808510638297863E-5</c:v>
                </c:pt>
                <c:pt idx="27">
                  <c:v>1.7304964539007091E-5</c:v>
                </c:pt>
                <c:pt idx="28">
                  <c:v>1.8014184397163118E-5</c:v>
                </c:pt>
                <c:pt idx="29">
                  <c:v>1.8652482269503538E-5</c:v>
                </c:pt>
                <c:pt idx="30">
                  <c:v>1.9716312056737593E-5</c:v>
                </c:pt>
                <c:pt idx="31">
                  <c:v>2.0921985815602834E-5</c:v>
                </c:pt>
                <c:pt idx="32">
                  <c:v>2.1914893617021272E-5</c:v>
                </c:pt>
                <c:pt idx="33">
                  <c:v>2.2907801418439711E-5</c:v>
                </c:pt>
                <c:pt idx="34">
                  <c:v>2.4255319148936161E-5</c:v>
                </c:pt>
                <c:pt idx="35">
                  <c:v>2.517730496453901E-5</c:v>
                </c:pt>
                <c:pt idx="36">
                  <c:v>2.6170212765957446E-5</c:v>
                </c:pt>
                <c:pt idx="37">
                  <c:v>2.5042553191489356E-5</c:v>
                </c:pt>
                <c:pt idx="38">
                  <c:v>2.8439716312056738E-5</c:v>
                </c:pt>
                <c:pt idx="39">
                  <c:v>2.9007092198581562E-5</c:v>
                </c:pt>
                <c:pt idx="40">
                  <c:v>2.9858156028368798E-5</c:v>
                </c:pt>
                <c:pt idx="41">
                  <c:v>3.0780141843971627E-5</c:v>
                </c:pt>
                <c:pt idx="42">
                  <c:v>3.0709219858156027E-5</c:v>
                </c:pt>
                <c:pt idx="43">
                  <c:v>3.1773049645390062E-5</c:v>
                </c:pt>
                <c:pt idx="44">
                  <c:v>3.2198581560283694E-5</c:v>
                </c:pt>
                <c:pt idx="45">
                  <c:v>3.2907801418439724E-5</c:v>
                </c:pt>
                <c:pt idx="46">
                  <c:v>3.3475177304964534E-5</c:v>
                </c:pt>
                <c:pt idx="47">
                  <c:v>3.432624113475177E-5</c:v>
                </c:pt>
                <c:pt idx="48">
                  <c:v>3.5531914893617011E-5</c:v>
                </c:pt>
                <c:pt idx="49">
                  <c:v>3.645390070921986E-5</c:v>
                </c:pt>
                <c:pt idx="50">
                  <c:v>3.7517730496453895E-5</c:v>
                </c:pt>
                <c:pt idx="51">
                  <c:v>3.851063829787233E-5</c:v>
                </c:pt>
                <c:pt idx="52">
                  <c:v>3.9198581560283681E-5</c:v>
                </c:pt>
                <c:pt idx="53">
                  <c:v>4.0070921985815596E-5</c:v>
                </c:pt>
                <c:pt idx="54">
                  <c:v>4.2340425531914885E-5</c:v>
                </c:pt>
                <c:pt idx="55">
                  <c:v>4.3687943262411339E-5</c:v>
                </c:pt>
                <c:pt idx="56">
                  <c:v>4.5673758865248223E-5</c:v>
                </c:pt>
                <c:pt idx="57">
                  <c:v>4.7730496453900713E-5</c:v>
                </c:pt>
                <c:pt idx="58">
                  <c:v>5.2056737588652486E-5</c:v>
                </c:pt>
                <c:pt idx="59">
                  <c:v>5.460992907801418E-5</c:v>
                </c:pt>
                <c:pt idx="60">
                  <c:v>5.673758865248227E-5</c:v>
                </c:pt>
                <c:pt idx="61">
                  <c:v>6.0283687943262407E-5</c:v>
                </c:pt>
                <c:pt idx="62">
                  <c:v>6.3829787234042536E-5</c:v>
                </c:pt>
                <c:pt idx="63">
                  <c:v>6.808510638297873E-5</c:v>
                </c:pt>
                <c:pt idx="64">
                  <c:v>7.014184397163122E-5</c:v>
                </c:pt>
                <c:pt idx="65">
                  <c:v>7.2322836879432632E-5</c:v>
                </c:pt>
                <c:pt idx="66">
                  <c:v>7.4434038014184397E-5</c:v>
                </c:pt>
                <c:pt idx="67">
                  <c:v>7.6477680712624119E-5</c:v>
                </c:pt>
                <c:pt idx="68">
                  <c:v>7.8455926844713778E-5</c:v>
                </c:pt>
                <c:pt idx="69">
                  <c:v>8.0370869100576545E-5</c:v>
                </c:pt>
                <c:pt idx="70">
                  <c:v>8.2224533204251725E-5</c:v>
                </c:pt>
                <c:pt idx="71">
                  <c:v>8.4018880056609273E-5</c:v>
                </c:pt>
                <c:pt idx="72">
                  <c:v>8.575580780969138E-5</c:v>
                </c:pt>
                <c:pt idx="73">
                  <c:v>8.7437153874674893E-5</c:v>
                </c:pt>
                <c:pt idx="74">
                  <c:v>8.9064696865578914E-5</c:v>
                </c:pt>
                <c:pt idx="75">
                  <c:v>9.0640158480774022E-5</c:v>
                </c:pt>
                <c:pt idx="76">
                  <c:v>9.2165205324282854E-5</c:v>
                </c:pt>
                <c:pt idx="77">
                  <c:v>9.3641450668799418E-5</c:v>
                </c:pt>
                <c:pt idx="78">
                  <c:v>9.5070456162291476E-5</c:v>
                </c:pt>
                <c:pt idx="79">
                  <c:v>9.6453733479991756E-5</c:v>
                </c:pt>
                <c:pt idx="80">
                  <c:v>9.7792745923525626E-5</c:v>
                </c:pt>
                <c:pt idx="81">
                  <c:v>9.9088909968866437E-5</c:v>
                </c:pt>
                <c:pt idx="82">
                  <c:v>1.0034359676475633E-4</c:v>
                </c:pt>
                <c:pt idx="83">
                  <c:v>1.0041950531590766E-4</c:v>
                </c:pt>
                <c:pt idx="84">
                  <c:v>1.0049526204995669E-4</c:v>
                </c:pt>
                <c:pt idx="85">
                  <c:v>1.0057086727053763E-4</c:v>
                </c:pt>
                <c:pt idx="86">
                  <c:v>1.0064632128067741E-4</c:v>
                </c:pt>
                <c:pt idx="87">
                  <c:v>1.007216243827969E-4</c:v>
                </c:pt>
                <c:pt idx="88">
                  <c:v>1.0079677687871216E-4</c:v>
                </c:pt>
                <c:pt idx="89">
                  <c:v>1.0087177906963559E-4</c:v>
                </c:pt>
                <c:pt idx="90">
                  <c:v>1.0212765957446807E-4</c:v>
                </c:pt>
                <c:pt idx="91">
                  <c:v>1.0212765957446807E-4</c:v>
                </c:pt>
                <c:pt idx="92">
                  <c:v>1.0212765957446807E-4</c:v>
                </c:pt>
                <c:pt idx="93">
                  <c:v>1.0212765957446807E-4</c:v>
                </c:pt>
                <c:pt idx="94">
                  <c:v>1.0212765957446807E-4</c:v>
                </c:pt>
                <c:pt idx="95">
                  <c:v>1.0212765957446807E-4</c:v>
                </c:pt>
                <c:pt idx="96">
                  <c:v>1.0212765957446807E-4</c:v>
                </c:pt>
                <c:pt idx="97">
                  <c:v>1.0212765957446807E-4</c:v>
                </c:pt>
                <c:pt idx="98">
                  <c:v>1.0212765957446807E-4</c:v>
                </c:pt>
                <c:pt idx="99">
                  <c:v>1.0212765957446807E-4</c:v>
                </c:pt>
                <c:pt idx="100">
                  <c:v>1.0212765957446807E-4</c:v>
                </c:pt>
                <c:pt idx="101">
                  <c:v>1.0212765957446807E-4</c:v>
                </c:pt>
                <c:pt idx="102">
                  <c:v>1.0212765957446807E-4</c:v>
                </c:pt>
                <c:pt idx="103">
                  <c:v>1.0212765957446807E-4</c:v>
                </c:pt>
                <c:pt idx="104">
                  <c:v>1.0212765957446807E-4</c:v>
                </c:pt>
                <c:pt idx="105">
                  <c:v>1.0212765957446807E-4</c:v>
                </c:pt>
                <c:pt idx="106">
                  <c:v>1.0212765957446807E-4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12-4592-AC03-E8E6CEE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51680"/>
        <c:axId val="144153600"/>
      </c:scatterChart>
      <c:valAx>
        <c:axId val="14415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153600"/>
        <c:crosses val="autoZero"/>
        <c:crossBetween val="midCat"/>
      </c:valAx>
      <c:valAx>
        <c:axId val="14415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15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'suivi conductimétrie t=20 °C)'!$H$13</c:f>
              <c:strCache>
                <c:ptCount val="1"/>
                <c:pt idx="0">
                  <c:v>dérivée</c:v>
                </c:pt>
              </c:strCache>
            </c:strRef>
          </c:tx>
          <c:yVal>
            <c:numRef>
              <c:f>'suivi conductimétrie t=20 °C)'!$H$14:$H$49</c:f>
              <c:numCache>
                <c:formatCode>0.00E+00</c:formatCode>
                <c:ptCount val="36"/>
                <c:pt idx="0">
                  <c:v>-12.999999093774626</c:v>
                </c:pt>
                <c:pt idx="1">
                  <c:v>-26.999998746453901</c:v>
                </c:pt>
                <c:pt idx="2">
                  <c:v>-39.999998465248225</c:v>
                </c:pt>
                <c:pt idx="3">
                  <c:v>-49.999998252955081</c:v>
                </c:pt>
                <c:pt idx="4">
                  <c:v>-59.999997394951578</c:v>
                </c:pt>
                <c:pt idx="5">
                  <c:v>-92.999996688534281</c:v>
                </c:pt>
                <c:pt idx="6">
                  <c:v>-119.99999583710822</c:v>
                </c:pt>
                <c:pt idx="7">
                  <c:v>-154.99999527147361</c:v>
                </c:pt>
                <c:pt idx="8">
                  <c:v>-179.99999463255656</c:v>
                </c:pt>
                <c:pt idx="9">
                  <c:v>-209.99999385224586</c:v>
                </c:pt>
                <c:pt idx="10">
                  <c:v>-239.999993214342</c:v>
                </c:pt>
                <c:pt idx="11">
                  <c:v>-269.99999222061558</c:v>
                </c:pt>
                <c:pt idx="12">
                  <c:v>-308.9999916544935</c:v>
                </c:pt>
                <c:pt idx="13">
                  <c:v>-334.99999087368218</c:v>
                </c:pt>
                <c:pt idx="14">
                  <c:v>-369.99999037771329</c:v>
                </c:pt>
                <c:pt idx="15">
                  <c:v>-395.9999898099291</c:v>
                </c:pt>
                <c:pt idx="16">
                  <c:v>-424.9999891003128</c:v>
                </c:pt>
                <c:pt idx="17">
                  <c:v>-457.99998810660634</c:v>
                </c:pt>
                <c:pt idx="18">
                  <c:v>-507.99998739795114</c:v>
                </c:pt>
                <c:pt idx="19">
                  <c:v>-539.9999867597362</c:v>
                </c:pt>
                <c:pt idx="20">
                  <c:v>-569.9999860502179</c:v>
                </c:pt>
                <c:pt idx="21">
                  <c:v>-606.9999854829955</c:v>
                </c:pt>
                <c:pt idx="22">
                  <c:v>-634.99998498656782</c:v>
                </c:pt>
                <c:pt idx="23">
                  <c:v>-659.99998427698404</c:v>
                </c:pt>
                <c:pt idx="24">
                  <c:v>-693.9999837807328</c:v>
                </c:pt>
                <c:pt idx="25">
                  <c:v>-719.99998321314422</c:v>
                </c:pt>
                <c:pt idx="26">
                  <c:v>-749.99998271658478</c:v>
                </c:pt>
                <c:pt idx="27">
                  <c:v>-779.99998200697087</c:v>
                </c:pt>
                <c:pt idx="28">
                  <c:v>-817.99998136871091</c:v>
                </c:pt>
                <c:pt idx="29">
                  <c:v>-849.99998030418521</c:v>
                </c:pt>
                <c:pt idx="30">
                  <c:v>-909.9999790983403</c:v>
                </c:pt>
                <c:pt idx="31">
                  <c:v>-969.99997810551804</c:v>
                </c:pt>
                <c:pt idx="32">
                  <c:v>-1024.9999771124901</c:v>
                </c:pt>
                <c:pt idx="33">
                  <c:v>-1079.9999757646181</c:v>
                </c:pt>
                <c:pt idx="34">
                  <c:v>-1148.9999748429077</c:v>
                </c:pt>
                <c:pt idx="35">
                  <c:v>-1199.9999738496119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47-4DCB-9C36-99FEA029C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72160"/>
        <c:axId val="144173696"/>
      </c:scatterChart>
      <c:valAx>
        <c:axId val="14417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4173696"/>
        <c:crosses val="autoZero"/>
        <c:crossBetween val="midCat"/>
      </c:valAx>
      <c:valAx>
        <c:axId val="14417369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44172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11</xdr:row>
      <xdr:rowOff>433387</xdr:rowOff>
    </xdr:from>
    <xdr:to>
      <xdr:col>15</xdr:col>
      <xdr:colOff>180975</xdr:colOff>
      <xdr:row>26</xdr:row>
      <xdr:rowOff>14287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25</xdr:row>
      <xdr:rowOff>128587</xdr:rowOff>
    </xdr:from>
    <xdr:to>
      <xdr:col>15</xdr:col>
      <xdr:colOff>333375</xdr:colOff>
      <xdr:row>40</xdr:row>
      <xdr:rowOff>4762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771525</xdr:colOff>
      <xdr:row>39</xdr:row>
      <xdr:rowOff>104775</xdr:rowOff>
    </xdr:from>
    <xdr:to>
      <xdr:col>15</xdr:col>
      <xdr:colOff>180975</xdr:colOff>
      <xdr:row>53</xdr:row>
      <xdr:rowOff>85725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11</xdr:row>
      <xdr:rowOff>433387</xdr:rowOff>
    </xdr:from>
    <xdr:to>
      <xdr:col>15</xdr:col>
      <xdr:colOff>180975</xdr:colOff>
      <xdr:row>26</xdr:row>
      <xdr:rowOff>14287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25</xdr:row>
      <xdr:rowOff>128587</xdr:rowOff>
    </xdr:from>
    <xdr:to>
      <xdr:col>15</xdr:col>
      <xdr:colOff>333375</xdr:colOff>
      <xdr:row>40</xdr:row>
      <xdr:rowOff>4762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771525</xdr:colOff>
      <xdr:row>39</xdr:row>
      <xdr:rowOff>104775</xdr:rowOff>
    </xdr:from>
    <xdr:to>
      <xdr:col>15</xdr:col>
      <xdr:colOff>180975</xdr:colOff>
      <xdr:row>53</xdr:row>
      <xdr:rowOff>85725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11</xdr:row>
      <xdr:rowOff>433387</xdr:rowOff>
    </xdr:from>
    <xdr:to>
      <xdr:col>15</xdr:col>
      <xdr:colOff>180975</xdr:colOff>
      <xdr:row>26</xdr:row>
      <xdr:rowOff>14287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647700</xdr:colOff>
      <xdr:row>65</xdr:row>
      <xdr:rowOff>42862</xdr:rowOff>
    </xdr:from>
    <xdr:to>
      <xdr:col>14</xdr:col>
      <xdr:colOff>676275</xdr:colOff>
      <xdr:row>79</xdr:row>
      <xdr:rowOff>119062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51</xdr:row>
      <xdr:rowOff>123825</xdr:rowOff>
    </xdr:from>
    <xdr:to>
      <xdr:col>14</xdr:col>
      <xdr:colOff>295275</xdr:colOff>
      <xdr:row>65</xdr:row>
      <xdr:rowOff>104775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12</xdr:row>
      <xdr:rowOff>433387</xdr:rowOff>
    </xdr:from>
    <xdr:to>
      <xdr:col>15</xdr:col>
      <xdr:colOff>180975</xdr:colOff>
      <xdr:row>27</xdr:row>
      <xdr:rowOff>14287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26</xdr:row>
      <xdr:rowOff>128587</xdr:rowOff>
    </xdr:from>
    <xdr:to>
      <xdr:col>15</xdr:col>
      <xdr:colOff>333375</xdr:colOff>
      <xdr:row>41</xdr:row>
      <xdr:rowOff>4762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647700</xdr:colOff>
      <xdr:row>40</xdr:row>
      <xdr:rowOff>85725</xdr:rowOff>
    </xdr:from>
    <xdr:to>
      <xdr:col>14</xdr:col>
      <xdr:colOff>66675</xdr:colOff>
      <xdr:row>54</xdr:row>
      <xdr:rowOff>66675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E6" sqref="E6"/>
    </sheetView>
  </sheetViews>
  <sheetFormatPr baseColWidth="10" defaultRowHeight="15" x14ac:dyDescent="0.25"/>
  <cols>
    <col min="3" max="3" width="19.5703125" customWidth="1"/>
    <col min="4" max="4" width="6.140625" customWidth="1"/>
    <col min="7" max="7" width="14.5703125" customWidth="1"/>
  </cols>
  <sheetData>
    <row r="1" spans="1:7" x14ac:dyDescent="0.25">
      <c r="A1" s="45" t="s">
        <v>56</v>
      </c>
    </row>
    <row r="2" spans="1:7" ht="15.75" thickBot="1" x14ac:dyDescent="0.3"/>
    <row r="3" spans="1:7" ht="15.75" thickBot="1" x14ac:dyDescent="0.3">
      <c r="A3" s="119" t="s">
        <v>54</v>
      </c>
      <c r="B3" s="120"/>
      <c r="C3" s="52" t="s">
        <v>49</v>
      </c>
      <c r="G3" s="52" t="s">
        <v>49</v>
      </c>
    </row>
    <row r="4" spans="1:7" ht="15.75" thickBot="1" x14ac:dyDescent="0.3">
      <c r="A4" s="116" t="s">
        <v>45</v>
      </c>
      <c r="B4" s="117" t="s">
        <v>46</v>
      </c>
      <c r="C4" s="106" t="s">
        <v>55</v>
      </c>
      <c r="D4" s="45"/>
      <c r="E4" s="116" t="s">
        <v>45</v>
      </c>
      <c r="F4" s="117" t="s">
        <v>46</v>
      </c>
      <c r="G4" s="106" t="s">
        <v>55</v>
      </c>
    </row>
    <row r="5" spans="1:7" ht="21" customHeight="1" x14ac:dyDescent="0.25">
      <c r="A5" s="107"/>
      <c r="B5" s="110"/>
      <c r="C5" s="113"/>
      <c r="E5" s="107"/>
      <c r="F5" s="110"/>
      <c r="G5" s="113"/>
    </row>
    <row r="6" spans="1:7" ht="21" customHeight="1" x14ac:dyDescent="0.25">
      <c r="A6" s="108"/>
      <c r="B6" s="111"/>
      <c r="C6" s="114"/>
      <c r="E6" s="108"/>
      <c r="F6" s="111"/>
      <c r="G6" s="114"/>
    </row>
    <row r="7" spans="1:7" ht="21" customHeight="1" x14ac:dyDescent="0.25">
      <c r="A7" s="108"/>
      <c r="B7" s="111"/>
      <c r="C7" s="114"/>
      <c r="E7" s="108"/>
      <c r="F7" s="111"/>
      <c r="G7" s="114"/>
    </row>
    <row r="8" spans="1:7" ht="21" customHeight="1" x14ac:dyDescent="0.25">
      <c r="A8" s="108"/>
      <c r="B8" s="111"/>
      <c r="C8" s="114"/>
      <c r="E8" s="108"/>
      <c r="F8" s="111"/>
      <c r="G8" s="114"/>
    </row>
    <row r="9" spans="1:7" ht="21" customHeight="1" x14ac:dyDescent="0.25">
      <c r="A9" s="108"/>
      <c r="B9" s="111"/>
      <c r="C9" s="114"/>
      <c r="E9" s="108"/>
      <c r="F9" s="111"/>
      <c r="G9" s="114"/>
    </row>
    <row r="10" spans="1:7" ht="21" customHeight="1" x14ac:dyDescent="0.25">
      <c r="A10" s="108"/>
      <c r="B10" s="111"/>
      <c r="C10" s="114"/>
      <c r="E10" s="108"/>
      <c r="F10" s="111"/>
      <c r="G10" s="114"/>
    </row>
    <row r="11" spans="1:7" ht="21" customHeight="1" x14ac:dyDescent="0.25">
      <c r="A11" s="108"/>
      <c r="B11" s="111"/>
      <c r="C11" s="114"/>
      <c r="E11" s="108"/>
      <c r="F11" s="111"/>
      <c r="G11" s="114"/>
    </row>
    <row r="12" spans="1:7" ht="21" customHeight="1" x14ac:dyDescent="0.25">
      <c r="A12" s="108"/>
      <c r="B12" s="111"/>
      <c r="C12" s="114"/>
      <c r="E12" s="108"/>
      <c r="F12" s="111"/>
      <c r="G12" s="114"/>
    </row>
    <row r="13" spans="1:7" ht="21" customHeight="1" x14ac:dyDescent="0.25">
      <c r="A13" s="108"/>
      <c r="B13" s="111"/>
      <c r="C13" s="114"/>
      <c r="E13" s="108"/>
      <c r="F13" s="111"/>
      <c r="G13" s="114"/>
    </row>
    <row r="14" spans="1:7" ht="21" customHeight="1" x14ac:dyDescent="0.25">
      <c r="A14" s="108"/>
      <c r="B14" s="111"/>
      <c r="C14" s="114"/>
      <c r="E14" s="108"/>
      <c r="F14" s="111"/>
      <c r="G14" s="114"/>
    </row>
    <row r="15" spans="1:7" ht="21" customHeight="1" x14ac:dyDescent="0.25">
      <c r="A15" s="108"/>
      <c r="B15" s="111"/>
      <c r="C15" s="114"/>
      <c r="E15" s="108"/>
      <c r="F15" s="111"/>
      <c r="G15" s="114"/>
    </row>
    <row r="16" spans="1:7" ht="21" customHeight="1" x14ac:dyDescent="0.25">
      <c r="A16" s="108"/>
      <c r="B16" s="111"/>
      <c r="C16" s="114"/>
      <c r="E16" s="108"/>
      <c r="F16" s="111"/>
      <c r="G16" s="114"/>
    </row>
    <row r="17" spans="1:7" ht="21" customHeight="1" x14ac:dyDescent="0.25">
      <c r="A17" s="108"/>
      <c r="B17" s="111"/>
      <c r="C17" s="114"/>
      <c r="E17" s="108"/>
      <c r="F17" s="111"/>
      <c r="G17" s="114"/>
    </row>
    <row r="18" spans="1:7" ht="21" customHeight="1" x14ac:dyDescent="0.25">
      <c r="A18" s="108"/>
      <c r="B18" s="111"/>
      <c r="C18" s="114"/>
      <c r="E18" s="108"/>
      <c r="F18" s="111"/>
      <c r="G18" s="114"/>
    </row>
    <row r="19" spans="1:7" ht="21" customHeight="1" x14ac:dyDescent="0.25">
      <c r="A19" s="108"/>
      <c r="B19" s="111"/>
      <c r="C19" s="114"/>
      <c r="E19" s="108"/>
      <c r="F19" s="111"/>
      <c r="G19" s="114"/>
    </row>
    <row r="20" spans="1:7" ht="21" customHeight="1" x14ac:dyDescent="0.25">
      <c r="A20" s="108"/>
      <c r="B20" s="111"/>
      <c r="C20" s="114"/>
      <c r="E20" s="108"/>
      <c r="F20" s="111"/>
      <c r="G20" s="114"/>
    </row>
    <row r="21" spans="1:7" ht="21" customHeight="1" x14ac:dyDescent="0.25">
      <c r="A21" s="108"/>
      <c r="B21" s="111"/>
      <c r="C21" s="114"/>
      <c r="E21" s="108"/>
      <c r="F21" s="111"/>
      <c r="G21" s="114"/>
    </row>
    <row r="22" spans="1:7" ht="21" customHeight="1" x14ac:dyDescent="0.25">
      <c r="A22" s="108"/>
      <c r="B22" s="111"/>
      <c r="C22" s="114"/>
      <c r="E22" s="108"/>
      <c r="F22" s="111"/>
      <c r="G22" s="114"/>
    </row>
    <row r="23" spans="1:7" ht="21" customHeight="1" x14ac:dyDescent="0.25">
      <c r="A23" s="108"/>
      <c r="B23" s="111"/>
      <c r="C23" s="114"/>
      <c r="E23" s="108"/>
      <c r="F23" s="111"/>
      <c r="G23" s="114"/>
    </row>
    <row r="24" spans="1:7" ht="21" customHeight="1" x14ac:dyDescent="0.25">
      <c r="A24" s="108"/>
      <c r="B24" s="111"/>
      <c r="C24" s="114"/>
      <c r="E24" s="108"/>
      <c r="F24" s="111"/>
      <c r="G24" s="114"/>
    </row>
    <row r="25" spans="1:7" ht="21" customHeight="1" x14ac:dyDescent="0.25">
      <c r="A25" s="108"/>
      <c r="B25" s="111"/>
      <c r="C25" s="114"/>
      <c r="E25" s="108"/>
      <c r="F25" s="111"/>
      <c r="G25" s="114"/>
    </row>
    <row r="26" spans="1:7" ht="21" customHeight="1" x14ac:dyDescent="0.25">
      <c r="A26" s="108"/>
      <c r="B26" s="111"/>
      <c r="C26" s="114"/>
      <c r="E26" s="108"/>
      <c r="F26" s="111"/>
      <c r="G26" s="114"/>
    </row>
    <row r="27" spans="1:7" ht="21" customHeight="1" x14ac:dyDescent="0.25">
      <c r="A27" s="108"/>
      <c r="B27" s="111"/>
      <c r="C27" s="114"/>
      <c r="E27" s="108"/>
      <c r="F27" s="111"/>
      <c r="G27" s="114"/>
    </row>
    <row r="28" spans="1:7" ht="21" customHeight="1" x14ac:dyDescent="0.25">
      <c r="A28" s="108"/>
      <c r="B28" s="111"/>
      <c r="C28" s="114"/>
      <c r="E28" s="108"/>
      <c r="F28" s="111"/>
      <c r="G28" s="114"/>
    </row>
    <row r="29" spans="1:7" ht="21" customHeight="1" x14ac:dyDescent="0.25">
      <c r="A29" s="108"/>
      <c r="B29" s="111"/>
      <c r="C29" s="114"/>
      <c r="E29" s="108"/>
      <c r="F29" s="111"/>
      <c r="G29" s="114"/>
    </row>
    <row r="30" spans="1:7" ht="21" customHeight="1" x14ac:dyDescent="0.25">
      <c r="A30" s="108"/>
      <c r="B30" s="111"/>
      <c r="C30" s="114"/>
      <c r="E30" s="108"/>
      <c r="F30" s="111"/>
      <c r="G30" s="114"/>
    </row>
    <row r="31" spans="1:7" ht="21" customHeight="1" x14ac:dyDescent="0.25">
      <c r="A31" s="108"/>
      <c r="B31" s="111"/>
      <c r="C31" s="114"/>
      <c r="E31" s="108"/>
      <c r="F31" s="111"/>
      <c r="G31" s="114"/>
    </row>
    <row r="32" spans="1:7" ht="21" customHeight="1" x14ac:dyDescent="0.25">
      <c r="A32" s="108"/>
      <c r="B32" s="111"/>
      <c r="C32" s="114"/>
      <c r="E32" s="108"/>
      <c r="F32" s="111"/>
      <c r="G32" s="114"/>
    </row>
    <row r="33" spans="1:7" ht="21" customHeight="1" x14ac:dyDescent="0.25">
      <c r="A33" s="108"/>
      <c r="B33" s="111"/>
      <c r="C33" s="114"/>
      <c r="E33" s="108"/>
      <c r="F33" s="111"/>
      <c r="G33" s="114"/>
    </row>
    <row r="34" spans="1:7" ht="21" customHeight="1" x14ac:dyDescent="0.25">
      <c r="A34" s="108"/>
      <c r="B34" s="111"/>
      <c r="C34" s="114"/>
      <c r="E34" s="108"/>
      <c r="F34" s="111"/>
      <c r="G34" s="114"/>
    </row>
    <row r="35" spans="1:7" ht="21" customHeight="1" x14ac:dyDescent="0.25">
      <c r="A35" s="108"/>
      <c r="B35" s="111"/>
      <c r="C35" s="114"/>
      <c r="E35" s="108"/>
      <c r="F35" s="111"/>
      <c r="G35" s="114"/>
    </row>
    <row r="36" spans="1:7" ht="21" customHeight="1" x14ac:dyDescent="0.25">
      <c r="A36" s="108"/>
      <c r="B36" s="111"/>
      <c r="C36" s="114"/>
      <c r="E36" s="108"/>
      <c r="F36" s="111"/>
      <c r="G36" s="114"/>
    </row>
    <row r="37" spans="1:7" ht="21" customHeight="1" x14ac:dyDescent="0.25">
      <c r="A37" s="108"/>
      <c r="B37" s="111"/>
      <c r="C37" s="114"/>
      <c r="E37" s="108"/>
      <c r="F37" s="111"/>
      <c r="G37" s="114"/>
    </row>
    <row r="38" spans="1:7" ht="21" customHeight="1" x14ac:dyDescent="0.25">
      <c r="A38" s="108"/>
      <c r="B38" s="111"/>
      <c r="C38" s="114"/>
      <c r="E38" s="108"/>
      <c r="F38" s="111"/>
      <c r="G38" s="114"/>
    </row>
    <row r="39" spans="1:7" ht="21" customHeight="1" x14ac:dyDescent="0.25">
      <c r="A39" s="108"/>
      <c r="B39" s="111"/>
      <c r="C39" s="114"/>
      <c r="E39" s="108"/>
      <c r="F39" s="111"/>
      <c r="G39" s="114"/>
    </row>
    <row r="40" spans="1:7" ht="21" customHeight="1" thickBot="1" x14ac:dyDescent="0.3">
      <c r="A40" s="109"/>
      <c r="B40" s="112"/>
      <c r="C40" s="115"/>
      <c r="E40" s="109"/>
      <c r="F40" s="112"/>
      <c r="G40" s="115"/>
    </row>
  </sheetData>
  <mergeCells count="1">
    <mergeCell ref="A3:B3"/>
  </mergeCells>
  <pageMargins left="0.39" right="0.4" top="0.28999999999999998" bottom="0.2" header="0.23" footer="0.140000000000000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tabSelected="1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E12" sqref="E12"/>
    </sheetView>
  </sheetViews>
  <sheetFormatPr baseColWidth="10" defaultRowHeight="15" x14ac:dyDescent="0.25"/>
  <cols>
    <col min="1" max="1" width="19.28515625" customWidth="1"/>
    <col min="2" max="3" width="7.7109375" customWidth="1"/>
    <col min="5" max="5" width="16.85546875" customWidth="1"/>
    <col min="6" max="6" width="8" customWidth="1"/>
    <col min="7" max="7" width="18.28515625" customWidth="1"/>
    <col min="8" max="8" width="11.28515625" customWidth="1"/>
    <col min="9" max="9" width="12.140625" customWidth="1"/>
    <col min="10" max="10" width="7.5703125" customWidth="1"/>
    <col min="11" max="11" width="7.140625" style="21" customWidth="1"/>
    <col min="12" max="12" width="15.5703125" bestFit="1" customWidth="1"/>
  </cols>
  <sheetData>
    <row r="1" spans="1:16" ht="13.5" customHeight="1" thickBot="1" x14ac:dyDescent="0.3">
      <c r="C1" s="81"/>
      <c r="D1" s="96" t="s">
        <v>53</v>
      </c>
      <c r="E1" s="80">
        <f>E3+E5+E7</f>
        <v>20</v>
      </c>
      <c r="F1" t="s">
        <v>30</v>
      </c>
      <c r="G1" s="18">
        <f>E1/1000000</f>
        <v>2.0000000000000002E-5</v>
      </c>
      <c r="L1" s="68" t="s">
        <v>33</v>
      </c>
      <c r="M1" s="69" t="s">
        <v>18</v>
      </c>
      <c r="N1" s="69" t="s">
        <v>19</v>
      </c>
      <c r="O1" s="69" t="s">
        <v>17</v>
      </c>
      <c r="P1" s="70" t="s">
        <v>20</v>
      </c>
    </row>
    <row r="2" spans="1:16" ht="21" customHeight="1" thickBot="1" x14ac:dyDescent="0.3">
      <c r="A2" s="86"/>
      <c r="B2" s="87"/>
      <c r="C2" s="87"/>
      <c r="D2" s="90"/>
      <c r="E2" s="90"/>
      <c r="F2" s="87"/>
      <c r="G2" s="88" t="s">
        <v>35</v>
      </c>
      <c r="H2" s="89"/>
      <c r="I2" s="118" t="s">
        <v>38</v>
      </c>
      <c r="J2" s="118"/>
      <c r="L2" s="71" t="s">
        <v>36</v>
      </c>
      <c r="M2" s="72">
        <v>7.34</v>
      </c>
      <c r="N2" s="72">
        <v>7.6800000000000006</v>
      </c>
      <c r="O2" s="72">
        <v>7.63</v>
      </c>
      <c r="P2" s="73">
        <v>34.96</v>
      </c>
    </row>
    <row r="3" spans="1:16" ht="15.75" thickBot="1" x14ac:dyDescent="0.3">
      <c r="A3" s="24" t="s">
        <v>26</v>
      </c>
      <c r="B3" s="27"/>
      <c r="C3" s="27"/>
      <c r="D3" s="91" t="s">
        <v>29</v>
      </c>
      <c r="E3" s="92"/>
      <c r="F3" s="27" t="s">
        <v>30</v>
      </c>
      <c r="G3" s="76"/>
      <c r="H3" s="28" t="s">
        <v>1</v>
      </c>
      <c r="I3" s="50">
        <f>(E3*G3)/($E$1)</f>
        <v>0</v>
      </c>
      <c r="J3" s="118" t="s">
        <v>1</v>
      </c>
      <c r="K3" s="62">
        <f>(1000*E3*G3)/($E$1)</f>
        <v>0</v>
      </c>
      <c r="L3" s="45"/>
      <c r="M3" s="14"/>
      <c r="N3" s="14"/>
      <c r="O3" s="14"/>
      <c r="P3" s="14"/>
    </row>
    <row r="4" spans="1:16" ht="13.5" customHeight="1" x14ac:dyDescent="0.25">
      <c r="A4" s="24"/>
      <c r="B4" s="27"/>
      <c r="C4" s="27"/>
      <c r="D4" s="27"/>
      <c r="E4" s="84"/>
      <c r="F4" s="27"/>
      <c r="G4" s="77"/>
      <c r="H4" s="28"/>
      <c r="I4" s="50"/>
      <c r="J4" s="118"/>
      <c r="K4" s="63"/>
      <c r="M4" s="64" t="s">
        <v>42</v>
      </c>
      <c r="N4" s="65">
        <f>(K5*M2+K5*N2+K7*O2+K7*P2)/100</f>
        <v>1.5020000000000002</v>
      </c>
    </row>
    <row r="5" spans="1:16" x14ac:dyDescent="0.25">
      <c r="A5" s="24" t="s">
        <v>27</v>
      </c>
      <c r="B5" s="27"/>
      <c r="C5" s="27"/>
      <c r="D5" s="22" t="s">
        <v>31</v>
      </c>
      <c r="E5" s="83">
        <v>20</v>
      </c>
      <c r="F5" s="27" t="s">
        <v>30</v>
      </c>
      <c r="G5" s="76">
        <v>0.01</v>
      </c>
      <c r="H5" s="28" t="s">
        <v>1</v>
      </c>
      <c r="I5" s="50">
        <f>(E5*G5)/($E$1)</f>
        <v>0.01</v>
      </c>
      <c r="J5" s="118" t="s">
        <v>1</v>
      </c>
      <c r="K5" s="62">
        <f>(1000*E5*G5)/($E$1)</f>
        <v>10</v>
      </c>
      <c r="M5" s="24"/>
      <c r="N5" s="28"/>
      <c r="P5" s="53">
        <f>(N4-N6)/2+N6</f>
        <v>-0.61299999999999999</v>
      </c>
    </row>
    <row r="6" spans="1:16" ht="12.75" customHeight="1" thickBot="1" x14ac:dyDescent="0.3">
      <c r="A6" s="24"/>
      <c r="B6" s="27"/>
      <c r="C6" s="27"/>
      <c r="D6" s="27"/>
      <c r="E6" s="84"/>
      <c r="F6" s="27"/>
      <c r="G6" s="78"/>
      <c r="H6" s="28"/>
      <c r="I6" s="50"/>
      <c r="J6" s="118"/>
      <c r="K6" s="63"/>
      <c r="M6" s="66" t="s">
        <v>50</v>
      </c>
      <c r="N6" s="67">
        <f>(K5*N2+K7*O2+(K7-K5)*P2)/100</f>
        <v>-2.7280000000000002</v>
      </c>
    </row>
    <row r="7" spans="1:16" ht="15.75" thickBot="1" x14ac:dyDescent="0.3">
      <c r="A7" s="25" t="s">
        <v>28</v>
      </c>
      <c r="B7" s="29"/>
      <c r="C7" s="29"/>
      <c r="D7" s="23" t="s">
        <v>32</v>
      </c>
      <c r="E7" s="85"/>
      <c r="F7" s="29" t="s">
        <v>30</v>
      </c>
      <c r="G7" s="79"/>
      <c r="H7" s="30"/>
      <c r="I7" s="50">
        <f>(E7*G7)/($E$1)</f>
        <v>0</v>
      </c>
      <c r="J7" s="118" t="s">
        <v>1</v>
      </c>
      <c r="K7" s="62">
        <f>(1000*E7*G7)/($E$1)</f>
        <v>0</v>
      </c>
      <c r="M7" s="121" t="s">
        <v>52</v>
      </c>
      <c r="N7" s="121"/>
    </row>
    <row r="8" spans="1:16" ht="6" customHeight="1" x14ac:dyDescent="0.25">
      <c r="K8"/>
    </row>
    <row r="9" spans="1:16" x14ac:dyDescent="0.25">
      <c r="D9" s="51" t="s">
        <v>48</v>
      </c>
      <c r="E9" s="51"/>
      <c r="F9" t="s">
        <v>49</v>
      </c>
    </row>
    <row r="10" spans="1:16" ht="7.5" customHeight="1" thickBot="1" x14ac:dyDescent="0.3">
      <c r="D10" s="35"/>
    </row>
    <row r="11" spans="1:16" ht="15.75" thickBot="1" x14ac:dyDescent="0.3">
      <c r="B11" s="122" t="s">
        <v>39</v>
      </c>
      <c r="C11" s="123"/>
      <c r="D11" s="32" t="s">
        <v>47</v>
      </c>
      <c r="E11" s="33" t="s">
        <v>39</v>
      </c>
      <c r="F11" s="26"/>
      <c r="G11" s="105" t="s">
        <v>40</v>
      </c>
    </row>
    <row r="12" spans="1:16" ht="30" customHeight="1" thickBot="1" x14ac:dyDescent="0.3">
      <c r="A12" s="26"/>
      <c r="B12" s="97" t="s">
        <v>45</v>
      </c>
      <c r="C12" s="98" t="s">
        <v>46</v>
      </c>
      <c r="D12" s="32" t="s">
        <v>41</v>
      </c>
      <c r="E12" s="37" t="s">
        <v>43</v>
      </c>
      <c r="F12" s="31"/>
      <c r="G12" s="54" t="s">
        <v>51</v>
      </c>
    </row>
    <row r="13" spans="1:16" x14ac:dyDescent="0.25">
      <c r="A13" s="26"/>
      <c r="B13" s="99"/>
      <c r="C13" s="100"/>
      <c r="D13" s="75">
        <f>B13*60+C13-$D$10</f>
        <v>0</v>
      </c>
      <c r="E13" s="74"/>
      <c r="F13" s="50"/>
      <c r="G13" s="39" t="str">
        <f>IF(E13&lt;&gt;"",-((E13-$E$9)*100)/(2*($M$2+$P$2)*1000)*$E$1/1000,"")</f>
        <v/>
      </c>
      <c r="H13" s="60"/>
    </row>
    <row r="14" spans="1:16" x14ac:dyDescent="0.25">
      <c r="A14" s="41"/>
      <c r="B14" s="101"/>
      <c r="C14" s="102"/>
      <c r="D14" s="95">
        <f t="shared" ref="D14:D77" si="0">B14*60+C14-$D$10</f>
        <v>0</v>
      </c>
      <c r="E14" s="93"/>
      <c r="F14" s="50"/>
      <c r="G14" s="40" t="str">
        <f t="shared" ref="G14:G77" si="1">IF(E14&lt;&gt;"",-((E14-$E$9)*100)/(2*($M$2+$P$2)*1000)*$E$1/1000,"")</f>
        <v/>
      </c>
      <c r="H14" s="61"/>
      <c r="I14" s="17"/>
      <c r="J14" s="17"/>
    </row>
    <row r="15" spans="1:16" x14ac:dyDescent="0.25">
      <c r="A15" s="41"/>
      <c r="B15" s="101"/>
      <c r="C15" s="102"/>
      <c r="D15" s="95">
        <f t="shared" si="0"/>
        <v>0</v>
      </c>
      <c r="E15" s="93"/>
      <c r="F15" s="50"/>
      <c r="G15" s="40" t="str">
        <f t="shared" si="1"/>
        <v/>
      </c>
      <c r="H15" s="61"/>
      <c r="I15" s="17"/>
      <c r="J15" s="17"/>
    </row>
    <row r="16" spans="1:16" x14ac:dyDescent="0.25">
      <c r="A16" s="41"/>
      <c r="B16" s="101"/>
      <c r="C16" s="102"/>
      <c r="D16" s="95">
        <f t="shared" si="0"/>
        <v>0</v>
      </c>
      <c r="E16" s="93"/>
      <c r="F16" s="50"/>
      <c r="G16" s="40" t="str">
        <f t="shared" si="1"/>
        <v/>
      </c>
      <c r="H16" s="61"/>
      <c r="I16" s="17"/>
      <c r="J16" s="17"/>
    </row>
    <row r="17" spans="1:12" x14ac:dyDescent="0.25">
      <c r="A17" s="41"/>
      <c r="B17" s="101"/>
      <c r="C17" s="102"/>
      <c r="D17" s="95">
        <f t="shared" si="0"/>
        <v>0</v>
      </c>
      <c r="E17" s="93"/>
      <c r="F17" s="50"/>
      <c r="G17" s="40" t="str">
        <f t="shared" si="1"/>
        <v/>
      </c>
      <c r="H17" s="61"/>
      <c r="I17" s="17"/>
      <c r="J17" s="17"/>
    </row>
    <row r="18" spans="1:12" x14ac:dyDescent="0.25">
      <c r="A18" s="41"/>
      <c r="B18" s="101"/>
      <c r="C18" s="102"/>
      <c r="D18" s="95">
        <f t="shared" si="0"/>
        <v>0</v>
      </c>
      <c r="E18" s="93"/>
      <c r="F18" s="50"/>
      <c r="G18" s="40" t="str">
        <f t="shared" si="1"/>
        <v/>
      </c>
      <c r="H18" s="61"/>
      <c r="I18" s="17"/>
      <c r="J18" s="17"/>
    </row>
    <row r="19" spans="1:12" x14ac:dyDescent="0.25">
      <c r="A19" s="41"/>
      <c r="B19" s="101"/>
      <c r="C19" s="102"/>
      <c r="D19" s="95">
        <f t="shared" si="0"/>
        <v>0</v>
      </c>
      <c r="E19" s="93"/>
      <c r="F19" s="50"/>
      <c r="G19" s="40" t="str">
        <f t="shared" si="1"/>
        <v/>
      </c>
      <c r="H19" s="61"/>
      <c r="I19" s="17"/>
      <c r="J19" s="17"/>
    </row>
    <row r="20" spans="1:12" x14ac:dyDescent="0.25">
      <c r="A20" s="41"/>
      <c r="B20" s="101"/>
      <c r="C20" s="102"/>
      <c r="D20" s="95">
        <f t="shared" si="0"/>
        <v>0</v>
      </c>
      <c r="E20" s="93"/>
      <c r="F20" s="50"/>
      <c r="G20" s="40" t="str">
        <f t="shared" si="1"/>
        <v/>
      </c>
      <c r="H20" s="61"/>
      <c r="I20" s="17"/>
      <c r="J20" s="17"/>
    </row>
    <row r="21" spans="1:12" x14ac:dyDescent="0.25">
      <c r="A21" s="41"/>
      <c r="B21" s="101"/>
      <c r="C21" s="102"/>
      <c r="D21" s="95">
        <f t="shared" si="0"/>
        <v>0</v>
      </c>
      <c r="E21" s="93"/>
      <c r="F21" s="50"/>
      <c r="G21" s="40" t="str">
        <f t="shared" si="1"/>
        <v/>
      </c>
      <c r="H21" s="61"/>
      <c r="I21" s="17"/>
      <c r="J21" s="17"/>
    </row>
    <row r="22" spans="1:12" x14ac:dyDescent="0.25">
      <c r="A22" s="41"/>
      <c r="B22" s="101"/>
      <c r="C22" s="102"/>
      <c r="D22" s="95">
        <f t="shared" si="0"/>
        <v>0</v>
      </c>
      <c r="E22" s="93"/>
      <c r="F22" s="50"/>
      <c r="G22" s="40" t="str">
        <f t="shared" si="1"/>
        <v/>
      </c>
      <c r="H22" s="61"/>
      <c r="I22" s="17"/>
      <c r="J22" s="17"/>
    </row>
    <row r="23" spans="1:12" x14ac:dyDescent="0.25">
      <c r="A23" s="41"/>
      <c r="B23" s="101"/>
      <c r="C23" s="102"/>
      <c r="D23" s="95">
        <f t="shared" si="0"/>
        <v>0</v>
      </c>
      <c r="E23" s="93"/>
      <c r="F23" s="50"/>
      <c r="G23" s="40" t="str">
        <f t="shared" si="1"/>
        <v/>
      </c>
      <c r="H23" s="61"/>
      <c r="I23" s="17"/>
      <c r="J23" s="17"/>
    </row>
    <row r="24" spans="1:12" x14ac:dyDescent="0.25">
      <c r="A24" s="41"/>
      <c r="B24" s="101"/>
      <c r="C24" s="102"/>
      <c r="D24" s="95">
        <f t="shared" si="0"/>
        <v>0</v>
      </c>
      <c r="E24" s="93"/>
      <c r="F24" s="50"/>
      <c r="G24" s="40" t="str">
        <f t="shared" si="1"/>
        <v/>
      </c>
      <c r="H24" s="61"/>
      <c r="I24" s="17"/>
      <c r="J24" s="17"/>
    </row>
    <row r="25" spans="1:12" x14ac:dyDescent="0.25">
      <c r="A25" s="41"/>
      <c r="B25" s="101"/>
      <c r="C25" s="102"/>
      <c r="D25" s="95">
        <f t="shared" si="0"/>
        <v>0</v>
      </c>
      <c r="E25" s="93"/>
      <c r="F25" s="50"/>
      <c r="G25" s="40" t="str">
        <f t="shared" si="1"/>
        <v/>
      </c>
      <c r="H25" s="61"/>
    </row>
    <row r="26" spans="1:12" x14ac:dyDescent="0.25">
      <c r="A26" s="41"/>
      <c r="B26" s="101"/>
      <c r="C26" s="102"/>
      <c r="D26" s="95">
        <f t="shared" si="0"/>
        <v>0</v>
      </c>
      <c r="E26" s="93"/>
      <c r="F26" s="50"/>
      <c r="G26" s="40" t="str">
        <f t="shared" si="1"/>
        <v/>
      </c>
      <c r="H26" s="61"/>
      <c r="L26" s="16" t="e">
        <f>G16/G3</f>
        <v>#VALUE!</v>
      </c>
    </row>
    <row r="27" spans="1:12" x14ac:dyDescent="0.25">
      <c r="A27" s="41"/>
      <c r="B27" s="101"/>
      <c r="C27" s="102"/>
      <c r="D27" s="95">
        <f t="shared" si="0"/>
        <v>0</v>
      </c>
      <c r="E27" s="93"/>
      <c r="F27" s="50"/>
      <c r="G27" s="40" t="str">
        <f t="shared" si="1"/>
        <v/>
      </c>
      <c r="H27" s="61"/>
    </row>
    <row r="28" spans="1:12" x14ac:dyDescent="0.25">
      <c r="A28" s="41"/>
      <c r="B28" s="101"/>
      <c r="C28" s="102"/>
      <c r="D28" s="95">
        <f t="shared" si="0"/>
        <v>0</v>
      </c>
      <c r="E28" s="93"/>
      <c r="F28" s="50"/>
      <c r="G28" s="40" t="str">
        <f t="shared" si="1"/>
        <v/>
      </c>
      <c r="H28" s="61"/>
    </row>
    <row r="29" spans="1:12" x14ac:dyDescent="0.25">
      <c r="A29" s="42"/>
      <c r="B29" s="101"/>
      <c r="C29" s="102"/>
      <c r="D29" s="95">
        <f t="shared" si="0"/>
        <v>0</v>
      </c>
      <c r="E29" s="93"/>
      <c r="F29" s="50"/>
      <c r="G29" s="40" t="str">
        <f t="shared" si="1"/>
        <v/>
      </c>
      <c r="H29" s="61"/>
    </row>
    <row r="30" spans="1:12" x14ac:dyDescent="0.25">
      <c r="A30" s="42"/>
      <c r="B30" s="101"/>
      <c r="C30" s="102"/>
      <c r="D30" s="95">
        <f t="shared" si="0"/>
        <v>0</v>
      </c>
      <c r="E30" s="93"/>
      <c r="F30" s="50"/>
      <c r="G30" s="40" t="str">
        <f t="shared" si="1"/>
        <v/>
      </c>
      <c r="H30" s="61"/>
    </row>
    <row r="31" spans="1:12" x14ac:dyDescent="0.25">
      <c r="A31" s="42"/>
      <c r="B31" s="101"/>
      <c r="C31" s="102"/>
      <c r="D31" s="95">
        <f t="shared" si="0"/>
        <v>0</v>
      </c>
      <c r="E31" s="93"/>
      <c r="F31" s="50"/>
      <c r="G31" s="40" t="str">
        <f t="shared" si="1"/>
        <v/>
      </c>
      <c r="H31" s="61"/>
    </row>
    <row r="32" spans="1:12" x14ac:dyDescent="0.25">
      <c r="A32" s="42"/>
      <c r="B32" s="101"/>
      <c r="C32" s="102"/>
      <c r="D32" s="95">
        <f t="shared" si="0"/>
        <v>0</v>
      </c>
      <c r="E32" s="93"/>
      <c r="F32" s="50"/>
      <c r="G32" s="40" t="str">
        <f t="shared" si="1"/>
        <v/>
      </c>
      <c r="H32" s="61"/>
    </row>
    <row r="33" spans="1:8" x14ac:dyDescent="0.25">
      <c r="A33" s="42"/>
      <c r="B33" s="101"/>
      <c r="C33" s="102"/>
      <c r="D33" s="95">
        <f t="shared" si="0"/>
        <v>0</v>
      </c>
      <c r="E33" s="94"/>
      <c r="F33" s="50"/>
      <c r="G33" s="40" t="str">
        <f t="shared" si="1"/>
        <v/>
      </c>
      <c r="H33" s="61"/>
    </row>
    <row r="34" spans="1:8" x14ac:dyDescent="0.25">
      <c r="A34" s="42"/>
      <c r="B34" s="101"/>
      <c r="C34" s="102"/>
      <c r="D34" s="95">
        <f t="shared" si="0"/>
        <v>0</v>
      </c>
      <c r="E34" s="94"/>
      <c r="F34" s="50"/>
      <c r="G34" s="40" t="str">
        <f t="shared" si="1"/>
        <v/>
      </c>
      <c r="H34" s="61"/>
    </row>
    <row r="35" spans="1:8" x14ac:dyDescent="0.25">
      <c r="A35" s="42"/>
      <c r="B35" s="101"/>
      <c r="C35" s="102"/>
      <c r="D35" s="95">
        <f t="shared" si="0"/>
        <v>0</v>
      </c>
      <c r="E35" s="94"/>
      <c r="F35" s="50"/>
      <c r="G35" s="40" t="str">
        <f t="shared" si="1"/>
        <v/>
      </c>
      <c r="H35" s="61"/>
    </row>
    <row r="36" spans="1:8" x14ac:dyDescent="0.25">
      <c r="A36" s="42"/>
      <c r="B36" s="101"/>
      <c r="C36" s="102"/>
      <c r="D36" s="95">
        <f t="shared" si="0"/>
        <v>0</v>
      </c>
      <c r="E36" s="94"/>
      <c r="F36" s="50"/>
      <c r="G36" s="40" t="str">
        <f t="shared" si="1"/>
        <v/>
      </c>
      <c r="H36" s="61"/>
    </row>
    <row r="37" spans="1:8" x14ac:dyDescent="0.25">
      <c r="A37" s="42"/>
      <c r="B37" s="101"/>
      <c r="C37" s="102"/>
      <c r="D37" s="95">
        <f t="shared" si="0"/>
        <v>0</v>
      </c>
      <c r="E37" s="94"/>
      <c r="F37" s="50"/>
      <c r="G37" s="40" t="str">
        <f t="shared" si="1"/>
        <v/>
      </c>
      <c r="H37" s="61"/>
    </row>
    <row r="38" spans="1:8" x14ac:dyDescent="0.25">
      <c r="A38" s="42"/>
      <c r="B38" s="101"/>
      <c r="C38" s="102"/>
      <c r="D38" s="95">
        <f t="shared" si="0"/>
        <v>0</v>
      </c>
      <c r="E38" s="94"/>
      <c r="F38" s="50"/>
      <c r="G38" s="40" t="str">
        <f t="shared" si="1"/>
        <v/>
      </c>
      <c r="H38" s="61"/>
    </row>
    <row r="39" spans="1:8" x14ac:dyDescent="0.25">
      <c r="A39" s="42"/>
      <c r="B39" s="101"/>
      <c r="C39" s="102"/>
      <c r="D39" s="95">
        <f t="shared" si="0"/>
        <v>0</v>
      </c>
      <c r="E39" s="94"/>
      <c r="F39" s="50"/>
      <c r="G39" s="40" t="str">
        <f t="shared" si="1"/>
        <v/>
      </c>
      <c r="H39" s="61"/>
    </row>
    <row r="40" spans="1:8" x14ac:dyDescent="0.25">
      <c r="A40" s="42"/>
      <c r="B40" s="101"/>
      <c r="C40" s="102"/>
      <c r="D40" s="95">
        <f t="shared" si="0"/>
        <v>0</v>
      </c>
      <c r="E40" s="94"/>
      <c r="F40" s="50"/>
      <c r="G40" s="40" t="str">
        <f t="shared" si="1"/>
        <v/>
      </c>
      <c r="H40" s="61"/>
    </row>
    <row r="41" spans="1:8" x14ac:dyDescent="0.25">
      <c r="A41" s="42"/>
      <c r="B41" s="101"/>
      <c r="C41" s="102"/>
      <c r="D41" s="95">
        <f t="shared" si="0"/>
        <v>0</v>
      </c>
      <c r="E41" s="94"/>
      <c r="F41" s="50"/>
      <c r="G41" s="40" t="str">
        <f t="shared" si="1"/>
        <v/>
      </c>
      <c r="H41" s="61"/>
    </row>
    <row r="42" spans="1:8" x14ac:dyDescent="0.25">
      <c r="A42" s="42"/>
      <c r="B42" s="101"/>
      <c r="C42" s="102"/>
      <c r="D42" s="95">
        <f t="shared" si="0"/>
        <v>0</v>
      </c>
      <c r="E42" s="94"/>
      <c r="F42" s="50"/>
      <c r="G42" s="40" t="str">
        <f t="shared" si="1"/>
        <v/>
      </c>
      <c r="H42" s="61"/>
    </row>
    <row r="43" spans="1:8" x14ac:dyDescent="0.25">
      <c r="A43" s="42"/>
      <c r="B43" s="101"/>
      <c r="C43" s="102"/>
      <c r="D43" s="95">
        <f t="shared" si="0"/>
        <v>0</v>
      </c>
      <c r="E43" s="94"/>
      <c r="F43" s="50"/>
      <c r="G43" s="40" t="str">
        <f t="shared" si="1"/>
        <v/>
      </c>
      <c r="H43" s="61"/>
    </row>
    <row r="44" spans="1:8" x14ac:dyDescent="0.25">
      <c r="A44" s="42"/>
      <c r="B44" s="101"/>
      <c r="C44" s="102"/>
      <c r="D44" s="95">
        <f t="shared" si="0"/>
        <v>0</v>
      </c>
      <c r="E44" s="94"/>
      <c r="F44" s="50"/>
      <c r="G44" s="40" t="str">
        <f t="shared" si="1"/>
        <v/>
      </c>
      <c r="H44" s="61"/>
    </row>
    <row r="45" spans="1:8" x14ac:dyDescent="0.25">
      <c r="A45" s="42"/>
      <c r="B45" s="101"/>
      <c r="C45" s="102"/>
      <c r="D45" s="95">
        <f t="shared" si="0"/>
        <v>0</v>
      </c>
      <c r="E45" s="94"/>
      <c r="F45" s="50"/>
      <c r="G45" s="40" t="str">
        <f t="shared" si="1"/>
        <v/>
      </c>
      <c r="H45" s="61"/>
    </row>
    <row r="46" spans="1:8" x14ac:dyDescent="0.25">
      <c r="A46" s="42"/>
      <c r="B46" s="101"/>
      <c r="C46" s="102"/>
      <c r="D46" s="95">
        <f t="shared" si="0"/>
        <v>0</v>
      </c>
      <c r="E46" s="94"/>
      <c r="F46" s="50"/>
      <c r="G46" s="40" t="str">
        <f t="shared" si="1"/>
        <v/>
      </c>
      <c r="H46" s="61"/>
    </row>
    <row r="47" spans="1:8" x14ac:dyDescent="0.25">
      <c r="A47" s="42"/>
      <c r="B47" s="101"/>
      <c r="C47" s="102"/>
      <c r="D47" s="95">
        <f t="shared" si="0"/>
        <v>0</v>
      </c>
      <c r="E47" s="94"/>
      <c r="F47" s="50"/>
      <c r="G47" s="40" t="str">
        <f t="shared" si="1"/>
        <v/>
      </c>
      <c r="H47" s="61"/>
    </row>
    <row r="48" spans="1:8" x14ac:dyDescent="0.25">
      <c r="A48" s="42"/>
      <c r="B48" s="101"/>
      <c r="C48" s="102"/>
      <c r="D48" s="95">
        <f t="shared" si="0"/>
        <v>0</v>
      </c>
      <c r="E48" s="94"/>
      <c r="F48" s="50"/>
      <c r="G48" s="40" t="str">
        <f t="shared" si="1"/>
        <v/>
      </c>
      <c r="H48" s="61"/>
    </row>
    <row r="49" spans="1:8" x14ac:dyDescent="0.25">
      <c r="A49" s="42"/>
      <c r="B49" s="101"/>
      <c r="C49" s="102"/>
      <c r="D49" s="95">
        <f t="shared" si="0"/>
        <v>0</v>
      </c>
      <c r="E49" s="94"/>
      <c r="F49" s="50"/>
      <c r="G49" s="40" t="str">
        <f t="shared" si="1"/>
        <v/>
      </c>
      <c r="H49" s="61"/>
    </row>
    <row r="50" spans="1:8" x14ac:dyDescent="0.25">
      <c r="B50" s="101"/>
      <c r="C50" s="102"/>
      <c r="D50" s="95">
        <f t="shared" si="0"/>
        <v>0</v>
      </c>
      <c r="E50" s="94"/>
      <c r="F50" s="50"/>
      <c r="G50" s="40" t="str">
        <f t="shared" si="1"/>
        <v/>
      </c>
      <c r="H50" s="61"/>
    </row>
    <row r="51" spans="1:8" x14ac:dyDescent="0.25">
      <c r="B51" s="101"/>
      <c r="C51" s="102"/>
      <c r="D51" s="95">
        <f t="shared" si="0"/>
        <v>0</v>
      </c>
      <c r="E51" s="94"/>
      <c r="F51" s="50"/>
      <c r="G51" s="40" t="str">
        <f t="shared" si="1"/>
        <v/>
      </c>
      <c r="H51" s="17"/>
    </row>
    <row r="52" spans="1:8" x14ac:dyDescent="0.25">
      <c r="B52" s="101"/>
      <c r="C52" s="102"/>
      <c r="D52" s="95">
        <f t="shared" si="0"/>
        <v>0</v>
      </c>
      <c r="E52" s="94"/>
      <c r="F52" s="50"/>
      <c r="G52" s="40" t="str">
        <f t="shared" si="1"/>
        <v/>
      </c>
      <c r="H52" s="17"/>
    </row>
    <row r="53" spans="1:8" x14ac:dyDescent="0.25">
      <c r="B53" s="101"/>
      <c r="C53" s="102"/>
      <c r="D53" s="95">
        <f t="shared" si="0"/>
        <v>0</v>
      </c>
      <c r="E53" s="94"/>
      <c r="F53" s="50"/>
      <c r="G53" s="40" t="str">
        <f t="shared" si="1"/>
        <v/>
      </c>
      <c r="H53" s="17"/>
    </row>
    <row r="54" spans="1:8" x14ac:dyDescent="0.25">
      <c r="B54" s="101"/>
      <c r="C54" s="102"/>
      <c r="D54" s="95">
        <f t="shared" si="0"/>
        <v>0</v>
      </c>
      <c r="E54" s="94"/>
      <c r="F54" s="50"/>
      <c r="G54" s="40" t="str">
        <f t="shared" si="1"/>
        <v/>
      </c>
      <c r="H54" s="17"/>
    </row>
    <row r="55" spans="1:8" x14ac:dyDescent="0.25">
      <c r="B55" s="101"/>
      <c r="C55" s="102"/>
      <c r="D55" s="95">
        <f t="shared" si="0"/>
        <v>0</v>
      </c>
      <c r="E55" s="94"/>
      <c r="F55" s="50"/>
      <c r="G55" s="40" t="str">
        <f t="shared" si="1"/>
        <v/>
      </c>
      <c r="H55" s="17"/>
    </row>
    <row r="56" spans="1:8" x14ac:dyDescent="0.25">
      <c r="B56" s="101"/>
      <c r="C56" s="102"/>
      <c r="D56" s="95">
        <f t="shared" si="0"/>
        <v>0</v>
      </c>
      <c r="E56" s="94"/>
      <c r="F56" s="50"/>
      <c r="G56" s="40" t="str">
        <f t="shared" si="1"/>
        <v/>
      </c>
      <c r="H56" s="17"/>
    </row>
    <row r="57" spans="1:8" x14ac:dyDescent="0.25">
      <c r="B57" s="101"/>
      <c r="C57" s="102"/>
      <c r="D57" s="95">
        <f t="shared" si="0"/>
        <v>0</v>
      </c>
      <c r="E57" s="94"/>
      <c r="F57" s="50"/>
      <c r="G57" s="40" t="str">
        <f t="shared" si="1"/>
        <v/>
      </c>
      <c r="H57" s="17"/>
    </row>
    <row r="58" spans="1:8" x14ac:dyDescent="0.25">
      <c r="B58" s="101"/>
      <c r="C58" s="102"/>
      <c r="D58" s="95">
        <f t="shared" si="0"/>
        <v>0</v>
      </c>
      <c r="E58" s="94"/>
      <c r="F58" s="50"/>
      <c r="G58" s="40" t="str">
        <f t="shared" si="1"/>
        <v/>
      </c>
      <c r="H58" s="17"/>
    </row>
    <row r="59" spans="1:8" x14ac:dyDescent="0.25">
      <c r="B59" s="101"/>
      <c r="C59" s="102"/>
      <c r="D59" s="95">
        <f t="shared" si="0"/>
        <v>0</v>
      </c>
      <c r="E59" s="94"/>
      <c r="F59" s="50"/>
      <c r="G59" s="40" t="str">
        <f t="shared" si="1"/>
        <v/>
      </c>
      <c r="H59" s="17"/>
    </row>
    <row r="60" spans="1:8" x14ac:dyDescent="0.25">
      <c r="B60" s="101"/>
      <c r="C60" s="102"/>
      <c r="D60" s="95">
        <f t="shared" si="0"/>
        <v>0</v>
      </c>
      <c r="E60" s="94"/>
      <c r="F60" s="50"/>
      <c r="G60" s="40" t="str">
        <f t="shared" si="1"/>
        <v/>
      </c>
      <c r="H60" s="17"/>
    </row>
    <row r="61" spans="1:8" x14ac:dyDescent="0.25">
      <c r="B61" s="101"/>
      <c r="C61" s="102"/>
      <c r="D61" s="95">
        <f t="shared" si="0"/>
        <v>0</v>
      </c>
      <c r="E61" s="94"/>
      <c r="F61" s="50"/>
      <c r="G61" s="40" t="str">
        <f t="shared" si="1"/>
        <v/>
      </c>
      <c r="H61" s="17"/>
    </row>
    <row r="62" spans="1:8" x14ac:dyDescent="0.25">
      <c r="B62" s="101"/>
      <c r="C62" s="102"/>
      <c r="D62" s="95">
        <f t="shared" si="0"/>
        <v>0</v>
      </c>
      <c r="E62" s="94"/>
      <c r="F62" s="50"/>
      <c r="G62" s="40" t="str">
        <f t="shared" si="1"/>
        <v/>
      </c>
      <c r="H62" s="17"/>
    </row>
    <row r="63" spans="1:8" x14ac:dyDescent="0.25">
      <c r="B63" s="101"/>
      <c r="C63" s="102"/>
      <c r="D63" s="95">
        <f t="shared" si="0"/>
        <v>0</v>
      </c>
      <c r="E63" s="94"/>
      <c r="F63" s="50"/>
      <c r="G63" s="40" t="str">
        <f t="shared" si="1"/>
        <v/>
      </c>
      <c r="H63" s="17"/>
    </row>
    <row r="64" spans="1:8" x14ac:dyDescent="0.25">
      <c r="B64" s="101"/>
      <c r="C64" s="102"/>
      <c r="D64" s="95">
        <f t="shared" si="0"/>
        <v>0</v>
      </c>
      <c r="E64" s="94"/>
      <c r="F64" s="50"/>
      <c r="G64" s="40" t="str">
        <f t="shared" si="1"/>
        <v/>
      </c>
      <c r="H64" s="17"/>
    </row>
    <row r="65" spans="2:8" x14ac:dyDescent="0.25">
      <c r="B65" s="101"/>
      <c r="C65" s="102"/>
      <c r="D65" s="95">
        <f t="shared" si="0"/>
        <v>0</v>
      </c>
      <c r="E65" s="94"/>
      <c r="F65" s="50"/>
      <c r="G65" s="40" t="str">
        <f t="shared" si="1"/>
        <v/>
      </c>
      <c r="H65" s="17"/>
    </row>
    <row r="66" spans="2:8" x14ac:dyDescent="0.25">
      <c r="B66" s="101"/>
      <c r="C66" s="102"/>
      <c r="D66" s="95">
        <f t="shared" si="0"/>
        <v>0</v>
      </c>
      <c r="E66" s="94"/>
      <c r="F66" s="50"/>
      <c r="G66" s="40" t="str">
        <f t="shared" si="1"/>
        <v/>
      </c>
      <c r="H66" s="17"/>
    </row>
    <row r="67" spans="2:8" x14ac:dyDescent="0.25">
      <c r="B67" s="101"/>
      <c r="C67" s="102"/>
      <c r="D67" s="95">
        <f t="shared" si="0"/>
        <v>0</v>
      </c>
      <c r="E67" s="94"/>
      <c r="F67" s="50"/>
      <c r="G67" s="40" t="str">
        <f t="shared" si="1"/>
        <v/>
      </c>
      <c r="H67" s="17"/>
    </row>
    <row r="68" spans="2:8" x14ac:dyDescent="0.25">
      <c r="B68" s="101"/>
      <c r="C68" s="102"/>
      <c r="D68" s="95">
        <f t="shared" si="0"/>
        <v>0</v>
      </c>
      <c r="E68" s="94"/>
      <c r="F68" s="50"/>
      <c r="G68" s="40" t="str">
        <f t="shared" si="1"/>
        <v/>
      </c>
      <c r="H68" s="17"/>
    </row>
    <row r="69" spans="2:8" x14ac:dyDescent="0.25">
      <c r="B69" s="101"/>
      <c r="C69" s="102"/>
      <c r="D69" s="95">
        <f t="shared" si="0"/>
        <v>0</v>
      </c>
      <c r="E69" s="94"/>
      <c r="F69" s="50"/>
      <c r="G69" s="40" t="str">
        <f t="shared" si="1"/>
        <v/>
      </c>
      <c r="H69" s="17"/>
    </row>
    <row r="70" spans="2:8" x14ac:dyDescent="0.25">
      <c r="B70" s="101"/>
      <c r="C70" s="102"/>
      <c r="D70" s="95">
        <f t="shared" si="0"/>
        <v>0</v>
      </c>
      <c r="E70" s="94"/>
      <c r="F70" s="50"/>
      <c r="G70" s="40" t="str">
        <f t="shared" si="1"/>
        <v/>
      </c>
      <c r="H70" s="17"/>
    </row>
    <row r="71" spans="2:8" x14ac:dyDescent="0.25">
      <c r="B71" s="101"/>
      <c r="C71" s="102"/>
      <c r="D71" s="95">
        <f t="shared" si="0"/>
        <v>0</v>
      </c>
      <c r="E71" s="94"/>
      <c r="F71" s="50"/>
      <c r="G71" s="40" t="str">
        <f t="shared" si="1"/>
        <v/>
      </c>
    </row>
    <row r="72" spans="2:8" x14ac:dyDescent="0.25">
      <c r="B72" s="101"/>
      <c r="C72" s="102"/>
      <c r="D72" s="95">
        <f t="shared" si="0"/>
        <v>0</v>
      </c>
      <c r="E72" s="94"/>
      <c r="F72" s="50"/>
      <c r="G72" s="40" t="str">
        <f t="shared" si="1"/>
        <v/>
      </c>
    </row>
    <row r="73" spans="2:8" x14ac:dyDescent="0.25">
      <c r="B73" s="101"/>
      <c r="C73" s="102"/>
      <c r="D73" s="95">
        <f t="shared" si="0"/>
        <v>0</v>
      </c>
      <c r="E73" s="94"/>
      <c r="F73" s="50"/>
      <c r="G73" s="40" t="str">
        <f t="shared" si="1"/>
        <v/>
      </c>
    </row>
    <row r="74" spans="2:8" x14ac:dyDescent="0.25">
      <c r="B74" s="101"/>
      <c r="C74" s="102"/>
      <c r="D74" s="95">
        <f t="shared" si="0"/>
        <v>0</v>
      </c>
      <c r="E74" s="94"/>
      <c r="F74" s="50"/>
      <c r="G74" s="40" t="str">
        <f t="shared" si="1"/>
        <v/>
      </c>
    </row>
    <row r="75" spans="2:8" x14ac:dyDescent="0.25">
      <c r="B75" s="101"/>
      <c r="C75" s="102"/>
      <c r="D75" s="95">
        <f t="shared" si="0"/>
        <v>0</v>
      </c>
      <c r="E75" s="94"/>
      <c r="F75" s="50"/>
      <c r="G75" s="40" t="str">
        <f t="shared" si="1"/>
        <v/>
      </c>
    </row>
    <row r="76" spans="2:8" x14ac:dyDescent="0.25">
      <c r="B76" s="101"/>
      <c r="C76" s="102"/>
      <c r="D76" s="95">
        <f t="shared" si="0"/>
        <v>0</v>
      </c>
      <c r="E76" s="94"/>
      <c r="F76" s="50"/>
      <c r="G76" s="40" t="str">
        <f t="shared" si="1"/>
        <v/>
      </c>
    </row>
    <row r="77" spans="2:8" x14ac:dyDescent="0.25">
      <c r="B77" s="101"/>
      <c r="C77" s="102"/>
      <c r="D77" s="95">
        <f t="shared" si="0"/>
        <v>0</v>
      </c>
      <c r="E77" s="94"/>
      <c r="F77" s="50"/>
      <c r="G77" s="40" t="str">
        <f t="shared" si="1"/>
        <v/>
      </c>
    </row>
    <row r="78" spans="2:8" x14ac:dyDescent="0.25">
      <c r="B78" s="101"/>
      <c r="C78" s="102"/>
      <c r="D78" s="95">
        <f t="shared" ref="D78:D90" si="2">B78*60+C78-$D$10</f>
        <v>0</v>
      </c>
      <c r="E78" s="94"/>
      <c r="F78" s="50"/>
      <c r="G78" s="40" t="str">
        <f t="shared" ref="G78:G90" si="3">IF(E78&lt;&gt;"",-((E78-$E$9)*100)/(2*($M$2+$P$2)*1000)*$E$1/1000,"")</f>
        <v/>
      </c>
    </row>
    <row r="79" spans="2:8" x14ac:dyDescent="0.25">
      <c r="B79" s="101"/>
      <c r="C79" s="102"/>
      <c r="D79" s="95">
        <f t="shared" si="2"/>
        <v>0</v>
      </c>
      <c r="E79" s="94"/>
      <c r="F79" s="50"/>
      <c r="G79" s="40" t="str">
        <f t="shared" si="3"/>
        <v/>
      </c>
    </row>
    <row r="80" spans="2:8" x14ac:dyDescent="0.25">
      <c r="B80" s="101"/>
      <c r="C80" s="102"/>
      <c r="D80" s="95">
        <f t="shared" si="2"/>
        <v>0</v>
      </c>
      <c r="E80" s="94"/>
      <c r="F80" s="50"/>
      <c r="G80" s="40" t="str">
        <f t="shared" si="3"/>
        <v/>
      </c>
    </row>
    <row r="81" spans="2:7" x14ac:dyDescent="0.25">
      <c r="B81" s="101"/>
      <c r="C81" s="102"/>
      <c r="D81" s="95">
        <f t="shared" si="2"/>
        <v>0</v>
      </c>
      <c r="E81" s="94"/>
      <c r="F81" s="50"/>
      <c r="G81" s="40" t="str">
        <f t="shared" si="3"/>
        <v/>
      </c>
    </row>
    <row r="82" spans="2:7" x14ac:dyDescent="0.25">
      <c r="B82" s="101"/>
      <c r="C82" s="102"/>
      <c r="D82" s="95">
        <f t="shared" si="2"/>
        <v>0</v>
      </c>
      <c r="E82" s="94"/>
      <c r="F82" s="50"/>
      <c r="G82" s="40" t="str">
        <f t="shared" si="3"/>
        <v/>
      </c>
    </row>
    <row r="83" spans="2:7" x14ac:dyDescent="0.25">
      <c r="B83" s="101"/>
      <c r="C83" s="102"/>
      <c r="D83" s="95">
        <f t="shared" si="2"/>
        <v>0</v>
      </c>
      <c r="E83" s="94"/>
      <c r="F83" s="50"/>
      <c r="G83" s="40" t="str">
        <f t="shared" si="3"/>
        <v/>
      </c>
    </row>
    <row r="84" spans="2:7" x14ac:dyDescent="0.25">
      <c r="B84" s="101"/>
      <c r="C84" s="102"/>
      <c r="D84" s="95">
        <f t="shared" si="2"/>
        <v>0</v>
      </c>
      <c r="E84" s="94"/>
      <c r="F84" s="50"/>
      <c r="G84" s="40" t="str">
        <f t="shared" si="3"/>
        <v/>
      </c>
    </row>
    <row r="85" spans="2:7" x14ac:dyDescent="0.25">
      <c r="B85" s="101"/>
      <c r="C85" s="102"/>
      <c r="D85" s="95">
        <f t="shared" si="2"/>
        <v>0</v>
      </c>
      <c r="E85" s="94"/>
      <c r="F85" s="50"/>
      <c r="G85" s="40" t="str">
        <f t="shared" si="3"/>
        <v/>
      </c>
    </row>
    <row r="86" spans="2:7" x14ac:dyDescent="0.25">
      <c r="B86" s="101"/>
      <c r="C86" s="102"/>
      <c r="D86" s="95">
        <f t="shared" si="2"/>
        <v>0</v>
      </c>
      <c r="E86" s="94"/>
      <c r="F86" s="50"/>
      <c r="G86" s="40" t="str">
        <f t="shared" si="3"/>
        <v/>
      </c>
    </row>
    <row r="87" spans="2:7" x14ac:dyDescent="0.25">
      <c r="B87" s="101"/>
      <c r="C87" s="102"/>
      <c r="D87" s="95">
        <f t="shared" si="2"/>
        <v>0</v>
      </c>
      <c r="E87" s="94"/>
      <c r="F87" s="50"/>
      <c r="G87" s="40" t="str">
        <f t="shared" si="3"/>
        <v/>
      </c>
    </row>
    <row r="88" spans="2:7" x14ac:dyDescent="0.25">
      <c r="B88" s="101"/>
      <c r="C88" s="102"/>
      <c r="D88" s="95">
        <f t="shared" si="2"/>
        <v>0</v>
      </c>
      <c r="E88" s="94"/>
      <c r="F88" s="50"/>
      <c r="G88" s="40" t="str">
        <f t="shared" si="3"/>
        <v/>
      </c>
    </row>
    <row r="89" spans="2:7" x14ac:dyDescent="0.25">
      <c r="B89" s="101"/>
      <c r="C89" s="102"/>
      <c r="D89" s="95">
        <f t="shared" si="2"/>
        <v>0</v>
      </c>
      <c r="E89" s="94"/>
      <c r="F89" s="50"/>
      <c r="G89" s="40" t="str">
        <f t="shared" si="3"/>
        <v/>
      </c>
    </row>
    <row r="90" spans="2:7" ht="15.75" thickBot="1" x14ac:dyDescent="0.3">
      <c r="B90" s="103"/>
      <c r="C90" s="104"/>
      <c r="D90" s="95">
        <f t="shared" si="2"/>
        <v>0</v>
      </c>
      <c r="E90" s="94"/>
      <c r="F90" s="50"/>
      <c r="G90" s="40" t="str">
        <f t="shared" si="3"/>
        <v/>
      </c>
    </row>
  </sheetData>
  <mergeCells count="2">
    <mergeCell ref="M7:N7"/>
    <mergeCell ref="B11:C11"/>
  </mergeCells>
  <pageMargins left="0.25" right="0.25" top="0.75" bottom="0.75" header="0.3" footer="0.3"/>
  <pageSetup paperSize="9" scale="8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workbookViewId="0">
      <pane xSplit="5" ySplit="12" topLeftCell="F34" activePane="bottomRight" state="frozen"/>
      <selection pane="topRight" activeCell="F1" sqref="F1"/>
      <selection pane="bottomLeft" activeCell="A13" sqref="A13"/>
      <selection pane="bottomRight" activeCell="G51" sqref="G51"/>
    </sheetView>
  </sheetViews>
  <sheetFormatPr baseColWidth="10" defaultRowHeight="15" x14ac:dyDescent="0.25"/>
  <cols>
    <col min="1" max="1" width="19.28515625" customWidth="1"/>
    <col min="2" max="3" width="7.7109375" customWidth="1"/>
    <col min="5" max="5" width="9" customWidth="1"/>
    <col min="6" max="6" width="8" customWidth="1"/>
    <col min="7" max="7" width="12.5703125" customWidth="1"/>
    <col min="8" max="8" width="11.28515625" customWidth="1"/>
    <col min="9" max="9" width="12.140625" customWidth="1"/>
    <col min="10" max="10" width="7.5703125" customWidth="1"/>
    <col min="11" max="11" width="7.140625" style="21" customWidth="1"/>
    <col min="12" max="12" width="15.5703125" bestFit="1" customWidth="1"/>
  </cols>
  <sheetData>
    <row r="1" spans="1:16" ht="15.75" thickBot="1" x14ac:dyDescent="0.3">
      <c r="C1" s="81"/>
      <c r="D1" s="96" t="s">
        <v>53</v>
      </c>
      <c r="E1" s="80">
        <f>E3+E5+E7</f>
        <v>90</v>
      </c>
      <c r="F1" t="s">
        <v>30</v>
      </c>
      <c r="G1" s="18">
        <f>E1/1000000</f>
        <v>9.0000000000000006E-5</v>
      </c>
      <c r="L1" s="68" t="s">
        <v>33</v>
      </c>
      <c r="M1" s="69" t="s">
        <v>18</v>
      </c>
      <c r="N1" s="69" t="s">
        <v>19</v>
      </c>
      <c r="O1" s="69" t="s">
        <v>17</v>
      </c>
      <c r="P1" s="70" t="s">
        <v>20</v>
      </c>
    </row>
    <row r="2" spans="1:16" ht="34.5" thickBot="1" x14ac:dyDescent="0.3">
      <c r="A2" s="86"/>
      <c r="B2" s="87"/>
      <c r="C2" s="87"/>
      <c r="D2" s="90"/>
      <c r="E2" s="90"/>
      <c r="F2" s="87"/>
      <c r="G2" s="88" t="s">
        <v>35</v>
      </c>
      <c r="H2" s="89"/>
      <c r="I2" s="19" t="s">
        <v>38</v>
      </c>
      <c r="J2" s="19"/>
      <c r="L2" s="71" t="s">
        <v>36</v>
      </c>
      <c r="M2" s="72">
        <v>7.34</v>
      </c>
      <c r="N2" s="72">
        <v>7.6800000000000006</v>
      </c>
      <c r="O2" s="72">
        <v>7.63</v>
      </c>
      <c r="P2" s="73">
        <v>34.96</v>
      </c>
    </row>
    <row r="3" spans="1:16" ht="15.75" thickBot="1" x14ac:dyDescent="0.3">
      <c r="A3" s="24" t="s">
        <v>26</v>
      </c>
      <c r="B3" s="27"/>
      <c r="C3" s="27"/>
      <c r="D3" s="91" t="s">
        <v>29</v>
      </c>
      <c r="E3" s="92">
        <v>40</v>
      </c>
      <c r="F3" s="27" t="s">
        <v>30</v>
      </c>
      <c r="G3" s="76">
        <v>0.05</v>
      </c>
      <c r="H3" s="28" t="s">
        <v>1</v>
      </c>
      <c r="I3" s="20">
        <f>(E3*G3)/($E$1)</f>
        <v>2.2222222222222223E-2</v>
      </c>
      <c r="J3" s="19" t="s">
        <v>1</v>
      </c>
      <c r="K3" s="62">
        <f>(1000*E3*G3)/($E$1)</f>
        <v>22.222222222222221</v>
      </c>
      <c r="L3" s="45"/>
      <c r="M3" s="14"/>
      <c r="N3" s="14"/>
      <c r="O3" s="14"/>
      <c r="P3" s="14"/>
    </row>
    <row r="4" spans="1:16" x14ac:dyDescent="0.25">
      <c r="A4" s="24"/>
      <c r="B4" s="27"/>
      <c r="C4" s="27"/>
      <c r="D4" s="27"/>
      <c r="E4" s="84"/>
      <c r="F4" s="27"/>
      <c r="G4" s="77"/>
      <c r="H4" s="28"/>
      <c r="I4" s="20"/>
      <c r="J4" s="19"/>
      <c r="K4" s="63"/>
      <c r="M4" s="64" t="s">
        <v>42</v>
      </c>
      <c r="N4" s="65">
        <f>(K5*M2+K5*N2+K7*O2+K7*P2)/100</f>
        <v>1.7534444444444446</v>
      </c>
    </row>
    <row r="5" spans="1:16" x14ac:dyDescent="0.25">
      <c r="A5" s="24" t="s">
        <v>27</v>
      </c>
      <c r="B5" s="27"/>
      <c r="C5" s="27"/>
      <c r="D5" s="22" t="s">
        <v>31</v>
      </c>
      <c r="E5" s="83">
        <v>20</v>
      </c>
      <c r="F5" s="27" t="s">
        <v>30</v>
      </c>
      <c r="G5" s="76">
        <v>0.01</v>
      </c>
      <c r="H5" s="28" t="s">
        <v>1</v>
      </c>
      <c r="I5" s="20">
        <f>(E5*G5)/($E$1)</f>
        <v>2.2222222222222222E-3</v>
      </c>
      <c r="J5" s="19" t="s">
        <v>1</v>
      </c>
      <c r="K5" s="62">
        <f>(1000*E5*G5)/($E$1)</f>
        <v>2.2222222222222223</v>
      </c>
      <c r="M5" s="24"/>
      <c r="N5" s="28"/>
      <c r="P5" s="53">
        <f>(N4-N6)/2+N6</f>
        <v>1.2834444444444446</v>
      </c>
    </row>
    <row r="6" spans="1:16" ht="15.75" thickBot="1" x14ac:dyDescent="0.3">
      <c r="A6" s="24"/>
      <c r="B6" s="27"/>
      <c r="C6" s="27"/>
      <c r="D6" s="27"/>
      <c r="E6" s="84"/>
      <c r="F6" s="27"/>
      <c r="G6" s="78"/>
      <c r="H6" s="28"/>
      <c r="I6" s="20"/>
      <c r="J6" s="19"/>
      <c r="K6" s="63"/>
      <c r="M6" s="66" t="s">
        <v>50</v>
      </c>
      <c r="N6" s="67">
        <f>(K5*N2+K7*O2+(K7-K5)*P2)/100</f>
        <v>0.81344444444444453</v>
      </c>
    </row>
    <row r="7" spans="1:16" ht="15.75" thickBot="1" x14ac:dyDescent="0.3">
      <c r="A7" s="25" t="s">
        <v>28</v>
      </c>
      <c r="B7" s="29"/>
      <c r="C7" s="29"/>
      <c r="D7" s="23" t="s">
        <v>32</v>
      </c>
      <c r="E7" s="85">
        <v>30</v>
      </c>
      <c r="F7" s="29" t="s">
        <v>30</v>
      </c>
      <c r="G7" s="79">
        <v>0.01</v>
      </c>
      <c r="H7" s="30" t="s">
        <v>1</v>
      </c>
      <c r="I7" s="20">
        <f>(E7*G7)/($E$1)</f>
        <v>3.3333333333333331E-3</v>
      </c>
      <c r="J7" s="19" t="s">
        <v>1</v>
      </c>
      <c r="K7" s="62">
        <f>(1000*E7*G7)/($E$1)</f>
        <v>3.3333333333333335</v>
      </c>
      <c r="M7" s="121" t="s">
        <v>52</v>
      </c>
      <c r="N7" s="121"/>
    </row>
    <row r="8" spans="1:16" ht="10.5" customHeight="1" x14ac:dyDescent="0.25">
      <c r="K8"/>
    </row>
    <row r="9" spans="1:16" x14ac:dyDescent="0.25">
      <c r="D9" s="51" t="s">
        <v>48</v>
      </c>
      <c r="E9" s="51">
        <v>1.95</v>
      </c>
      <c r="F9" t="s">
        <v>49</v>
      </c>
    </row>
    <row r="10" spans="1:16" ht="15.75" thickBot="1" x14ac:dyDescent="0.3">
      <c r="D10" s="35"/>
    </row>
    <row r="11" spans="1:16" ht="15.75" thickBot="1" x14ac:dyDescent="0.3">
      <c r="B11" s="122" t="s">
        <v>39</v>
      </c>
      <c r="C11" s="123"/>
      <c r="D11" s="32" t="s">
        <v>47</v>
      </c>
      <c r="E11" s="33" t="s">
        <v>39</v>
      </c>
      <c r="F11" s="26"/>
      <c r="G11" s="105" t="s">
        <v>40</v>
      </c>
    </row>
    <row r="12" spans="1:16" ht="45.75" thickBot="1" x14ac:dyDescent="0.3">
      <c r="A12" s="26"/>
      <c r="B12" s="97" t="s">
        <v>45</v>
      </c>
      <c r="C12" s="98" t="s">
        <v>46</v>
      </c>
      <c r="D12" s="32" t="s">
        <v>41</v>
      </c>
      <c r="E12" s="37" t="s">
        <v>43</v>
      </c>
      <c r="F12" s="31"/>
      <c r="G12" s="54" t="s">
        <v>51</v>
      </c>
    </row>
    <row r="13" spans="1:16" x14ac:dyDescent="0.25">
      <c r="A13" s="26"/>
      <c r="B13" s="99">
        <v>22</v>
      </c>
      <c r="C13" s="100">
        <v>57</v>
      </c>
      <c r="D13" s="75">
        <f>B13*60+C13-$D$10</f>
        <v>1377</v>
      </c>
      <c r="E13" s="74">
        <v>1.8859999999999999</v>
      </c>
      <c r="F13" s="50"/>
      <c r="G13" s="39">
        <f>IF(E13&lt;&gt;"",-((E13-$E$9)*100)/(2*($M$2+$P$2)*1000)*$E$1/1000,"")</f>
        <v>6.8085106382978794E-6</v>
      </c>
      <c r="H13" s="60"/>
    </row>
    <row r="14" spans="1:16" x14ac:dyDescent="0.25">
      <c r="A14" s="41"/>
      <c r="B14" s="101">
        <v>23</v>
      </c>
      <c r="C14" s="102"/>
      <c r="D14" s="95">
        <f t="shared" ref="D14:D71" si="0">B14*60+C14-$D$10</f>
        <v>1380</v>
      </c>
      <c r="E14" s="93">
        <v>1.877</v>
      </c>
      <c r="F14" s="50"/>
      <c r="G14" s="40">
        <f>IF(E14&lt;&gt;"",-((E14-$E$9)*100)/(2*($M$2+$P$2)*1000)*$E$1/1000,"")</f>
        <v>7.7659574468085064E-6</v>
      </c>
      <c r="H14" s="61"/>
      <c r="I14" s="17"/>
      <c r="J14" s="17"/>
    </row>
    <row r="15" spans="1:16" x14ac:dyDescent="0.25">
      <c r="A15" s="41"/>
      <c r="B15" s="101">
        <v>23</v>
      </c>
      <c r="C15" s="102">
        <v>9</v>
      </c>
      <c r="D15" s="95">
        <f t="shared" si="0"/>
        <v>1389</v>
      </c>
      <c r="E15" s="93">
        <v>1.8740000000000001</v>
      </c>
      <c r="F15" s="50"/>
      <c r="G15" s="40">
        <f t="shared" ref="G15:G77" si="1">IF(E15&lt;&gt;"",-((E15-$E$9)*100)/(2*($M$2+$P$2)*1000)*$E$1/1000,"")</f>
        <v>8.085106382978708E-6</v>
      </c>
      <c r="H15" s="61"/>
      <c r="I15" s="17"/>
      <c r="J15" s="17"/>
    </row>
    <row r="16" spans="1:16" x14ac:dyDescent="0.25">
      <c r="A16" s="41"/>
      <c r="B16" s="101">
        <v>23</v>
      </c>
      <c r="C16" s="102">
        <v>24</v>
      </c>
      <c r="D16" s="95">
        <f t="shared" si="0"/>
        <v>1404</v>
      </c>
      <c r="E16" s="93">
        <v>1.87</v>
      </c>
      <c r="F16" s="50"/>
      <c r="G16" s="40">
        <f t="shared" si="1"/>
        <v>8.5106382978723243E-6</v>
      </c>
      <c r="H16" s="61"/>
      <c r="I16" s="17"/>
      <c r="J16" s="17"/>
    </row>
    <row r="17" spans="1:12" x14ac:dyDescent="0.25">
      <c r="A17" s="41"/>
      <c r="B17" s="101">
        <v>23</v>
      </c>
      <c r="C17" s="102">
        <v>40</v>
      </c>
      <c r="D17" s="95">
        <f t="shared" si="0"/>
        <v>1420</v>
      </c>
      <c r="E17" s="93">
        <v>1.867</v>
      </c>
      <c r="F17" s="50"/>
      <c r="G17" s="40">
        <f t="shared" si="1"/>
        <v>8.8297872340425496E-6</v>
      </c>
      <c r="H17" s="61"/>
      <c r="I17" s="17"/>
      <c r="J17" s="17"/>
    </row>
    <row r="18" spans="1:12" x14ac:dyDescent="0.25">
      <c r="A18" s="41"/>
      <c r="B18" s="101">
        <v>24</v>
      </c>
      <c r="C18" s="102"/>
      <c r="D18" s="95">
        <f t="shared" si="0"/>
        <v>1440</v>
      </c>
      <c r="E18" s="93">
        <v>1.861</v>
      </c>
      <c r="F18" s="50"/>
      <c r="G18" s="40">
        <f t="shared" si="1"/>
        <v>9.4680851063829766E-6</v>
      </c>
      <c r="H18" s="61"/>
      <c r="I18" s="17"/>
      <c r="J18" s="17"/>
    </row>
    <row r="19" spans="1:12" x14ac:dyDescent="0.25">
      <c r="A19" s="41"/>
      <c r="B19" s="101">
        <v>24</v>
      </c>
      <c r="C19" s="102">
        <v>23</v>
      </c>
      <c r="D19" s="95">
        <f t="shared" si="0"/>
        <v>1463</v>
      </c>
      <c r="E19" s="93">
        <v>1.857</v>
      </c>
      <c r="F19" s="50"/>
      <c r="G19" s="40">
        <f t="shared" si="1"/>
        <v>9.8936170212765912E-6</v>
      </c>
      <c r="H19" s="61"/>
      <c r="I19" s="17"/>
      <c r="J19" s="17"/>
    </row>
    <row r="20" spans="1:12" x14ac:dyDescent="0.25">
      <c r="A20" s="41"/>
      <c r="B20" s="101">
        <v>24</v>
      </c>
      <c r="C20" s="102">
        <v>39</v>
      </c>
      <c r="D20" s="95">
        <f t="shared" si="0"/>
        <v>1479</v>
      </c>
      <c r="E20" s="93">
        <v>1.8520000000000001</v>
      </c>
      <c r="F20" s="50"/>
      <c r="G20" s="40">
        <f t="shared" si="1"/>
        <v>1.0425531914893602E-5</v>
      </c>
      <c r="H20" s="61"/>
      <c r="I20" s="17"/>
      <c r="J20" s="17"/>
    </row>
    <row r="21" spans="1:12" x14ac:dyDescent="0.25">
      <c r="A21" s="41"/>
      <c r="B21" s="101">
        <v>25</v>
      </c>
      <c r="C21" s="102"/>
      <c r="D21" s="95">
        <f t="shared" si="0"/>
        <v>1500</v>
      </c>
      <c r="E21" s="93">
        <v>1.847</v>
      </c>
      <c r="F21" s="50"/>
      <c r="G21" s="40">
        <f t="shared" si="1"/>
        <v>1.0957446808510636E-5</v>
      </c>
      <c r="H21" s="61"/>
      <c r="I21" s="17"/>
      <c r="J21" s="17"/>
    </row>
    <row r="22" spans="1:12" x14ac:dyDescent="0.25">
      <c r="A22" s="41"/>
      <c r="B22" s="101">
        <v>25</v>
      </c>
      <c r="C22" s="102">
        <v>28</v>
      </c>
      <c r="D22" s="95">
        <f t="shared" si="0"/>
        <v>1528</v>
      </c>
      <c r="E22" s="93">
        <v>1.84</v>
      </c>
      <c r="F22" s="50"/>
      <c r="G22" s="40">
        <f t="shared" si="1"/>
        <v>1.1702127659574454E-5</v>
      </c>
      <c r="H22" s="61"/>
      <c r="I22" s="17"/>
      <c r="J22" s="17"/>
    </row>
    <row r="23" spans="1:12" x14ac:dyDescent="0.25">
      <c r="A23" s="41"/>
      <c r="B23" s="101">
        <v>25</v>
      </c>
      <c r="C23" s="102">
        <v>50</v>
      </c>
      <c r="D23" s="95">
        <f t="shared" si="0"/>
        <v>1550</v>
      </c>
      <c r="E23" s="93">
        <v>1.835</v>
      </c>
      <c r="F23" s="50"/>
      <c r="G23" s="40">
        <f t="shared" si="1"/>
        <v>1.223404255319149E-5</v>
      </c>
      <c r="H23" s="61"/>
      <c r="I23" s="17"/>
      <c r="J23" s="17"/>
    </row>
    <row r="24" spans="1:12" x14ac:dyDescent="0.25">
      <c r="A24" s="41"/>
      <c r="B24" s="101">
        <v>26</v>
      </c>
      <c r="C24" s="102">
        <v>11</v>
      </c>
      <c r="D24" s="95">
        <f t="shared" si="0"/>
        <v>1571</v>
      </c>
      <c r="E24" s="93">
        <v>1.83</v>
      </c>
      <c r="F24" s="50"/>
      <c r="G24" s="40">
        <f t="shared" si="1"/>
        <v>1.2765957446808497E-5</v>
      </c>
      <c r="H24" s="61"/>
      <c r="I24" s="17"/>
      <c r="J24" s="17"/>
    </row>
    <row r="25" spans="1:12" x14ac:dyDescent="0.25">
      <c r="A25" s="41"/>
      <c r="B25" s="101">
        <v>26</v>
      </c>
      <c r="C25" s="102">
        <v>30</v>
      </c>
      <c r="D25" s="95">
        <f t="shared" si="0"/>
        <v>1590</v>
      </c>
      <c r="E25" s="93">
        <v>1.825</v>
      </c>
      <c r="F25" s="50"/>
      <c r="G25" s="40">
        <f t="shared" si="1"/>
        <v>1.3297872340425532E-5</v>
      </c>
      <c r="H25" s="61"/>
    </row>
    <row r="26" spans="1:12" x14ac:dyDescent="0.25">
      <c r="A26" s="41"/>
      <c r="B26" s="101">
        <v>27</v>
      </c>
      <c r="C26" s="102"/>
      <c r="D26" s="95">
        <f t="shared" si="0"/>
        <v>1620</v>
      </c>
      <c r="E26" s="93">
        <v>1.8180000000000001</v>
      </c>
      <c r="F26" s="50"/>
      <c r="G26" s="40">
        <f t="shared" si="1"/>
        <v>1.404255319148935E-5</v>
      </c>
      <c r="H26" s="61"/>
      <c r="L26" s="16">
        <f>G16/G3</f>
        <v>1.7021276595744647E-4</v>
      </c>
    </row>
    <row r="27" spans="1:12" x14ac:dyDescent="0.25">
      <c r="A27" s="41"/>
      <c r="B27" s="101">
        <v>27</v>
      </c>
      <c r="C27" s="102">
        <v>30</v>
      </c>
      <c r="D27" s="95">
        <f t="shared" si="0"/>
        <v>1650</v>
      </c>
      <c r="E27" s="93">
        <v>1.8120000000000001</v>
      </c>
      <c r="F27" s="50"/>
      <c r="G27" s="40">
        <f t="shared" si="1"/>
        <v>1.4680851063829777E-5</v>
      </c>
      <c r="H27" s="61"/>
    </row>
    <row r="28" spans="1:12" x14ac:dyDescent="0.25">
      <c r="A28" s="41"/>
      <c r="B28" s="101">
        <v>28</v>
      </c>
      <c r="C28" s="102">
        <v>2</v>
      </c>
      <c r="D28" s="95">
        <f t="shared" si="0"/>
        <v>1682</v>
      </c>
      <c r="E28" s="93">
        <v>1.804</v>
      </c>
      <c r="F28" s="50"/>
      <c r="G28" s="40">
        <f t="shared" si="1"/>
        <v>1.5531914893617013E-5</v>
      </c>
      <c r="H28" s="61"/>
    </row>
    <row r="29" spans="1:12" x14ac:dyDescent="0.25">
      <c r="A29" s="42"/>
      <c r="B29" s="101">
        <v>28</v>
      </c>
      <c r="C29" s="102">
        <v>30</v>
      </c>
      <c r="D29" s="95">
        <f t="shared" si="0"/>
        <v>1710</v>
      </c>
      <c r="E29" s="93">
        <v>1.7969999999999999</v>
      </c>
      <c r="F29" s="50"/>
      <c r="G29" s="40">
        <f t="shared" si="1"/>
        <v>1.6276595744680853E-5</v>
      </c>
      <c r="H29" s="61"/>
    </row>
    <row r="30" spans="1:12" x14ac:dyDescent="0.25">
      <c r="A30" s="42"/>
      <c r="B30" s="101">
        <v>28</v>
      </c>
      <c r="C30" s="102">
        <v>55</v>
      </c>
      <c r="D30" s="95">
        <f t="shared" si="0"/>
        <v>1735</v>
      </c>
      <c r="E30" s="93">
        <v>1.7909999999999999</v>
      </c>
      <c r="F30" s="50"/>
      <c r="G30" s="40">
        <f t="shared" si="1"/>
        <v>1.691489361702128E-5</v>
      </c>
      <c r="H30" s="61"/>
    </row>
    <row r="31" spans="1:12" x14ac:dyDescent="0.25">
      <c r="A31" s="42"/>
      <c r="B31" s="101">
        <v>29</v>
      </c>
      <c r="C31" s="102">
        <v>40</v>
      </c>
      <c r="D31" s="95">
        <f t="shared" si="0"/>
        <v>1780</v>
      </c>
      <c r="E31" s="93">
        <v>1.7789999999999999</v>
      </c>
      <c r="F31" s="50"/>
      <c r="G31" s="40">
        <f t="shared" si="1"/>
        <v>1.819148936170213E-5</v>
      </c>
      <c r="H31" s="61"/>
    </row>
    <row r="32" spans="1:12" x14ac:dyDescent="0.25">
      <c r="A32" s="42"/>
      <c r="B32" s="101">
        <v>30</v>
      </c>
      <c r="C32" s="102">
        <v>11</v>
      </c>
      <c r="D32" s="95">
        <f t="shared" si="0"/>
        <v>1811</v>
      </c>
      <c r="E32" s="93">
        <v>1.772</v>
      </c>
      <c r="F32" s="50"/>
      <c r="G32" s="40">
        <f t="shared" si="1"/>
        <v>1.8936170212765953E-5</v>
      </c>
      <c r="H32" s="61"/>
    </row>
    <row r="33" spans="1:8" x14ac:dyDescent="0.25">
      <c r="A33" s="42"/>
      <c r="B33" s="101">
        <v>30</v>
      </c>
      <c r="C33" s="102">
        <v>40</v>
      </c>
      <c r="D33" s="95">
        <f t="shared" si="0"/>
        <v>1840</v>
      </c>
      <c r="E33" s="94">
        <v>1.764</v>
      </c>
      <c r="F33" s="50"/>
      <c r="G33" s="40">
        <f t="shared" si="1"/>
        <v>1.9787234042553182E-5</v>
      </c>
      <c r="H33" s="61"/>
    </row>
    <row r="34" spans="1:8" x14ac:dyDescent="0.25">
      <c r="A34" s="42"/>
      <c r="B34" s="101">
        <v>31</v>
      </c>
      <c r="C34" s="102">
        <v>15</v>
      </c>
      <c r="D34" s="95">
        <f t="shared" si="0"/>
        <v>1875</v>
      </c>
      <c r="E34" s="94">
        <v>1.7549999999999999</v>
      </c>
      <c r="F34" s="50"/>
      <c r="G34" s="40">
        <f t="shared" si="1"/>
        <v>2.0744680851063835E-5</v>
      </c>
      <c r="H34" s="61"/>
    </row>
    <row r="35" spans="1:8" x14ac:dyDescent="0.25">
      <c r="A35" s="42"/>
      <c r="B35" s="101">
        <v>31</v>
      </c>
      <c r="C35" s="102">
        <v>45</v>
      </c>
      <c r="D35" s="95">
        <f t="shared" si="0"/>
        <v>1905</v>
      </c>
      <c r="E35" s="94">
        <v>1.7470000000000001</v>
      </c>
      <c r="F35" s="50"/>
      <c r="G35" s="40">
        <f t="shared" si="1"/>
        <v>2.1595744680851047E-5</v>
      </c>
      <c r="H35" s="61"/>
    </row>
    <row r="36" spans="1:8" x14ac:dyDescent="0.25">
      <c r="A36" s="42"/>
      <c r="B36" s="101">
        <v>32</v>
      </c>
      <c r="C36" s="102">
        <v>20</v>
      </c>
      <c r="D36" s="95">
        <f t="shared" si="0"/>
        <v>1940</v>
      </c>
      <c r="E36" s="94">
        <v>1.7390000000000001</v>
      </c>
      <c r="F36" s="50"/>
      <c r="G36" s="40">
        <f t="shared" si="1"/>
        <v>2.2446808510638283E-5</v>
      </c>
      <c r="H36" s="61"/>
    </row>
    <row r="37" spans="1:8" x14ac:dyDescent="0.25">
      <c r="A37" s="42"/>
      <c r="B37" s="101">
        <v>33</v>
      </c>
      <c r="C37" s="102"/>
      <c r="D37" s="95">
        <f t="shared" si="0"/>
        <v>1980</v>
      </c>
      <c r="E37" s="94">
        <v>1.7310000000000001</v>
      </c>
      <c r="F37" s="50"/>
      <c r="G37" s="40">
        <f t="shared" si="1"/>
        <v>2.3297872340425516E-5</v>
      </c>
      <c r="H37" s="61"/>
    </row>
    <row r="38" spans="1:8" x14ac:dyDescent="0.25">
      <c r="A38" s="42"/>
      <c r="B38" s="101">
        <v>33</v>
      </c>
      <c r="C38" s="102">
        <v>40</v>
      </c>
      <c r="D38" s="95">
        <f t="shared" si="0"/>
        <v>2020</v>
      </c>
      <c r="E38" s="94">
        <v>1.7230000000000001</v>
      </c>
      <c r="F38" s="50"/>
      <c r="G38" s="40">
        <f t="shared" si="1"/>
        <v>2.4148936170212752E-5</v>
      </c>
      <c r="H38" s="61"/>
    </row>
    <row r="39" spans="1:8" x14ac:dyDescent="0.25">
      <c r="A39" s="42"/>
      <c r="B39" s="101">
        <v>35</v>
      </c>
      <c r="C39" s="102">
        <v>7</v>
      </c>
      <c r="D39" s="95">
        <f t="shared" si="0"/>
        <v>2107</v>
      </c>
      <c r="E39" s="94">
        <v>1.704</v>
      </c>
      <c r="F39" s="50"/>
      <c r="G39" s="40">
        <f t="shared" si="1"/>
        <v>2.6170212765957449E-5</v>
      </c>
      <c r="H39" s="61"/>
    </row>
    <row r="40" spans="1:8" x14ac:dyDescent="0.25">
      <c r="A40" s="42"/>
      <c r="B40" s="101">
        <v>36</v>
      </c>
      <c r="C40" s="102">
        <v>10</v>
      </c>
      <c r="D40" s="95">
        <f t="shared" si="0"/>
        <v>2170</v>
      </c>
      <c r="E40" s="94">
        <v>1.69</v>
      </c>
      <c r="F40" s="50"/>
      <c r="G40" s="40">
        <f t="shared" si="1"/>
        <v>2.7659574468085105E-5</v>
      </c>
      <c r="H40" s="61"/>
    </row>
    <row r="41" spans="1:8" x14ac:dyDescent="0.25">
      <c r="A41" s="42"/>
      <c r="B41" s="101">
        <v>37</v>
      </c>
      <c r="C41" s="102"/>
      <c r="D41" s="95">
        <f t="shared" si="0"/>
        <v>2220</v>
      </c>
      <c r="E41" s="94">
        <v>1.6779999999999999</v>
      </c>
      <c r="F41" s="50"/>
      <c r="G41" s="40">
        <f t="shared" si="1"/>
        <v>2.8936170212765963E-5</v>
      </c>
      <c r="H41" s="61"/>
    </row>
    <row r="42" spans="1:8" x14ac:dyDescent="0.25">
      <c r="A42" s="42">
        <f>8*3*20</f>
        <v>480</v>
      </c>
      <c r="B42" s="101">
        <v>38</v>
      </c>
      <c r="C42" s="102"/>
      <c r="D42" s="95">
        <f t="shared" si="0"/>
        <v>2280</v>
      </c>
      <c r="E42" s="94">
        <v>1.665</v>
      </c>
      <c r="F42" s="50"/>
      <c r="G42" s="40">
        <f t="shared" si="1"/>
        <v>3.0319148936170206E-5</v>
      </c>
      <c r="H42" s="61"/>
    </row>
    <row r="43" spans="1:8" x14ac:dyDescent="0.25">
      <c r="A43" s="42"/>
      <c r="B43" s="101">
        <v>40</v>
      </c>
      <c r="C43" s="102">
        <v>18</v>
      </c>
      <c r="D43" s="95">
        <f t="shared" si="0"/>
        <v>2418</v>
      </c>
      <c r="E43" s="94">
        <v>1.6379999999999999</v>
      </c>
      <c r="F43" s="50"/>
      <c r="G43" s="40">
        <f t="shared" si="1"/>
        <v>3.3191489361702136E-5</v>
      </c>
      <c r="H43" s="61"/>
    </row>
    <row r="44" spans="1:8" x14ac:dyDescent="0.25">
      <c r="A44" s="42"/>
      <c r="B44" s="101">
        <v>42</v>
      </c>
      <c r="C44" s="102">
        <v>12</v>
      </c>
      <c r="D44" s="95">
        <f t="shared" si="0"/>
        <v>2532</v>
      </c>
      <c r="E44" s="94">
        <v>1.6160000000000001</v>
      </c>
      <c r="F44" s="50"/>
      <c r="G44" s="40">
        <f t="shared" si="1"/>
        <v>3.5531914893617004E-5</v>
      </c>
      <c r="H44" s="61"/>
    </row>
    <row r="45" spans="1:8" x14ac:dyDescent="0.25">
      <c r="A45" s="42"/>
      <c r="B45" s="101">
        <v>43</v>
      </c>
      <c r="C45" s="102">
        <v>10</v>
      </c>
      <c r="D45" s="95">
        <f t="shared" si="0"/>
        <v>2590</v>
      </c>
      <c r="E45" s="94">
        <v>1.605</v>
      </c>
      <c r="F45" s="50"/>
      <c r="G45" s="40">
        <f t="shared" si="1"/>
        <v>3.6702127659574469E-5</v>
      </c>
      <c r="H45" s="61"/>
    </row>
    <row r="46" spans="1:8" x14ac:dyDescent="0.25">
      <c r="A46" s="42"/>
      <c r="B46" s="101">
        <v>45</v>
      </c>
      <c r="C46" s="102">
        <v>16</v>
      </c>
      <c r="D46" s="95">
        <f t="shared" si="0"/>
        <v>2716</v>
      </c>
      <c r="E46" s="94">
        <v>1.583</v>
      </c>
      <c r="F46" s="50"/>
      <c r="G46" s="40">
        <f t="shared" si="1"/>
        <v>3.9042553191489364E-5</v>
      </c>
      <c r="H46" s="61"/>
    </row>
    <row r="47" spans="1:8" x14ac:dyDescent="0.25">
      <c r="A47" s="42"/>
      <c r="B47" s="101">
        <v>48</v>
      </c>
      <c r="C47" s="102">
        <v>20</v>
      </c>
      <c r="D47" s="95">
        <f t="shared" si="0"/>
        <v>2900</v>
      </c>
      <c r="E47" s="94">
        <v>1.55</v>
      </c>
      <c r="F47" s="50"/>
      <c r="G47" s="40">
        <f t="shared" si="1"/>
        <v>4.2553191489361691E-5</v>
      </c>
      <c r="H47" s="61"/>
    </row>
    <row r="48" spans="1:8" x14ac:dyDescent="0.25">
      <c r="A48" s="42"/>
      <c r="B48" s="101">
        <v>50</v>
      </c>
      <c r="C48" s="102"/>
      <c r="D48" s="95">
        <f t="shared" si="0"/>
        <v>3000</v>
      </c>
      <c r="E48" s="94">
        <v>1.5269999999999999</v>
      </c>
      <c r="F48" s="50"/>
      <c r="G48" s="40">
        <f t="shared" si="1"/>
        <v>4.4999999999999996E-5</v>
      </c>
      <c r="H48" s="61"/>
    </row>
    <row r="49" spans="1:8" x14ac:dyDescent="0.25">
      <c r="A49" s="42"/>
      <c r="B49" s="101">
        <v>52</v>
      </c>
      <c r="C49" s="102">
        <v>30</v>
      </c>
      <c r="D49" s="95">
        <f t="shared" si="0"/>
        <v>3150</v>
      </c>
      <c r="E49" s="94">
        <v>1.51</v>
      </c>
      <c r="F49" s="50"/>
      <c r="G49" s="40">
        <f t="shared" si="1"/>
        <v>4.6808510638297864E-5</v>
      </c>
      <c r="H49" s="61"/>
    </row>
    <row r="50" spans="1:8" x14ac:dyDescent="0.25">
      <c r="B50" s="101">
        <v>55</v>
      </c>
      <c r="C50" s="102">
        <v>50</v>
      </c>
      <c r="D50" s="95">
        <f t="shared" si="0"/>
        <v>3350</v>
      </c>
      <c r="E50" s="94">
        <v>1.4810000000000001</v>
      </c>
      <c r="F50" s="50"/>
      <c r="G50" s="40">
        <f t="shared" si="1"/>
        <v>4.9893617021276586E-5</v>
      </c>
      <c r="H50" s="61"/>
    </row>
    <row r="51" spans="1:8" x14ac:dyDescent="0.25">
      <c r="B51" s="101">
        <v>98</v>
      </c>
      <c r="C51" s="102"/>
      <c r="D51" s="95">
        <f t="shared" si="0"/>
        <v>5880</v>
      </c>
      <c r="E51" s="94">
        <v>1.2190000000000001</v>
      </c>
      <c r="F51" s="50"/>
      <c r="G51" s="40">
        <f t="shared" si="1"/>
        <v>7.7765957446808507E-5</v>
      </c>
      <c r="H51" s="17"/>
    </row>
    <row r="52" spans="1:8" x14ac:dyDescent="0.25">
      <c r="B52" s="101"/>
      <c r="C52" s="102"/>
      <c r="D52" s="95">
        <f t="shared" si="0"/>
        <v>0</v>
      </c>
      <c r="E52" s="94"/>
      <c r="F52" s="50"/>
      <c r="G52" s="40" t="str">
        <f t="shared" si="1"/>
        <v/>
      </c>
      <c r="H52" s="17"/>
    </row>
    <row r="53" spans="1:8" x14ac:dyDescent="0.25">
      <c r="B53" s="101"/>
      <c r="C53" s="102"/>
      <c r="D53" s="95">
        <f t="shared" si="0"/>
        <v>0</v>
      </c>
      <c r="E53" s="94"/>
      <c r="F53" s="50"/>
      <c r="G53" s="40" t="str">
        <f t="shared" si="1"/>
        <v/>
      </c>
      <c r="H53" s="17"/>
    </row>
    <row r="54" spans="1:8" x14ac:dyDescent="0.25">
      <c r="B54" s="101"/>
      <c r="C54" s="102"/>
      <c r="D54" s="95">
        <f t="shared" si="0"/>
        <v>0</v>
      </c>
      <c r="E54" s="94"/>
      <c r="F54" s="50"/>
      <c r="G54" s="40" t="str">
        <f t="shared" si="1"/>
        <v/>
      </c>
      <c r="H54" s="17"/>
    </row>
    <row r="55" spans="1:8" x14ac:dyDescent="0.25">
      <c r="B55" s="101"/>
      <c r="C55" s="102"/>
      <c r="D55" s="95">
        <f t="shared" si="0"/>
        <v>0</v>
      </c>
      <c r="E55" s="94"/>
      <c r="F55" s="50"/>
      <c r="G55" s="40" t="str">
        <f t="shared" si="1"/>
        <v/>
      </c>
      <c r="H55" s="17"/>
    </row>
    <row r="56" spans="1:8" x14ac:dyDescent="0.25">
      <c r="B56" s="101"/>
      <c r="C56" s="102"/>
      <c r="D56" s="95">
        <f t="shared" si="0"/>
        <v>0</v>
      </c>
      <c r="E56" s="94"/>
      <c r="F56" s="50"/>
      <c r="G56" s="40" t="str">
        <f t="shared" si="1"/>
        <v/>
      </c>
      <c r="H56" s="17"/>
    </row>
    <row r="57" spans="1:8" x14ac:dyDescent="0.25">
      <c r="B57" s="101"/>
      <c r="C57" s="102"/>
      <c r="D57" s="95">
        <f t="shared" si="0"/>
        <v>0</v>
      </c>
      <c r="E57" s="94"/>
      <c r="F57" s="50"/>
      <c r="G57" s="40" t="str">
        <f t="shared" si="1"/>
        <v/>
      </c>
      <c r="H57" s="17"/>
    </row>
    <row r="58" spans="1:8" x14ac:dyDescent="0.25">
      <c r="B58" s="101"/>
      <c r="C58" s="102"/>
      <c r="D58" s="95">
        <f t="shared" si="0"/>
        <v>0</v>
      </c>
      <c r="E58" s="94"/>
      <c r="F58" s="50"/>
      <c r="G58" s="40" t="str">
        <f t="shared" si="1"/>
        <v/>
      </c>
      <c r="H58" s="17"/>
    </row>
    <row r="59" spans="1:8" x14ac:dyDescent="0.25">
      <c r="B59" s="101"/>
      <c r="C59" s="102"/>
      <c r="D59" s="95">
        <f t="shared" si="0"/>
        <v>0</v>
      </c>
      <c r="E59" s="94"/>
      <c r="F59" s="50"/>
      <c r="G59" s="40" t="str">
        <f t="shared" si="1"/>
        <v/>
      </c>
      <c r="H59" s="17"/>
    </row>
    <row r="60" spans="1:8" x14ac:dyDescent="0.25">
      <c r="B60" s="101"/>
      <c r="C60" s="102"/>
      <c r="D60" s="95">
        <f t="shared" si="0"/>
        <v>0</v>
      </c>
      <c r="E60" s="94"/>
      <c r="F60" s="50"/>
      <c r="G60" s="40" t="str">
        <f t="shared" si="1"/>
        <v/>
      </c>
      <c r="H60" s="17"/>
    </row>
    <row r="61" spans="1:8" x14ac:dyDescent="0.25">
      <c r="B61" s="101"/>
      <c r="C61" s="102"/>
      <c r="D61" s="95">
        <f t="shared" si="0"/>
        <v>0</v>
      </c>
      <c r="E61" s="94"/>
      <c r="F61" s="50"/>
      <c r="G61" s="40" t="str">
        <f t="shared" si="1"/>
        <v/>
      </c>
      <c r="H61" s="17"/>
    </row>
    <row r="62" spans="1:8" x14ac:dyDescent="0.25">
      <c r="B62" s="101"/>
      <c r="C62" s="102"/>
      <c r="D62" s="95">
        <f t="shared" si="0"/>
        <v>0</v>
      </c>
      <c r="E62" s="94"/>
      <c r="F62" s="50"/>
      <c r="G62" s="40" t="str">
        <f t="shared" si="1"/>
        <v/>
      </c>
      <c r="H62" s="17"/>
    </row>
    <row r="63" spans="1:8" x14ac:dyDescent="0.25">
      <c r="B63" s="101"/>
      <c r="C63" s="102"/>
      <c r="D63" s="95">
        <f t="shared" si="0"/>
        <v>0</v>
      </c>
      <c r="E63" s="94"/>
      <c r="F63" s="50"/>
      <c r="G63" s="40" t="str">
        <f t="shared" si="1"/>
        <v/>
      </c>
      <c r="H63" s="17"/>
    </row>
    <row r="64" spans="1:8" x14ac:dyDescent="0.25">
      <c r="B64" s="101"/>
      <c r="C64" s="102"/>
      <c r="D64" s="95">
        <f t="shared" si="0"/>
        <v>0</v>
      </c>
      <c r="E64" s="94"/>
      <c r="F64" s="50"/>
      <c r="G64" s="40" t="str">
        <f t="shared" si="1"/>
        <v/>
      </c>
      <c r="H64" s="17"/>
    </row>
    <row r="65" spans="2:8" x14ac:dyDescent="0.25">
      <c r="B65" s="101"/>
      <c r="C65" s="102"/>
      <c r="D65" s="95">
        <f t="shared" si="0"/>
        <v>0</v>
      </c>
      <c r="E65" s="94"/>
      <c r="F65" s="50"/>
      <c r="G65" s="40" t="str">
        <f t="shared" si="1"/>
        <v/>
      </c>
      <c r="H65" s="17"/>
    </row>
    <row r="66" spans="2:8" x14ac:dyDescent="0.25">
      <c r="B66" s="101"/>
      <c r="C66" s="102"/>
      <c r="D66" s="95">
        <f t="shared" si="0"/>
        <v>0</v>
      </c>
      <c r="E66" s="94"/>
      <c r="F66" s="50"/>
      <c r="G66" s="40" t="str">
        <f t="shared" si="1"/>
        <v/>
      </c>
      <c r="H66" s="17"/>
    </row>
    <row r="67" spans="2:8" x14ac:dyDescent="0.25">
      <c r="B67" s="101"/>
      <c r="C67" s="102"/>
      <c r="D67" s="95">
        <f t="shared" si="0"/>
        <v>0</v>
      </c>
      <c r="E67" s="94"/>
      <c r="F67" s="50"/>
      <c r="G67" s="40" t="str">
        <f t="shared" si="1"/>
        <v/>
      </c>
      <c r="H67" s="17"/>
    </row>
    <row r="68" spans="2:8" x14ac:dyDescent="0.25">
      <c r="B68" s="101"/>
      <c r="C68" s="102"/>
      <c r="D68" s="95">
        <f t="shared" si="0"/>
        <v>0</v>
      </c>
      <c r="E68" s="94"/>
      <c r="F68" s="50"/>
      <c r="G68" s="40" t="str">
        <f t="shared" si="1"/>
        <v/>
      </c>
      <c r="H68" s="17"/>
    </row>
    <row r="69" spans="2:8" x14ac:dyDescent="0.25">
      <c r="B69" s="101"/>
      <c r="C69" s="102"/>
      <c r="D69" s="95">
        <f t="shared" si="0"/>
        <v>0</v>
      </c>
      <c r="E69" s="94"/>
      <c r="F69" s="50"/>
      <c r="G69" s="40" t="str">
        <f t="shared" si="1"/>
        <v/>
      </c>
      <c r="H69" s="17"/>
    </row>
    <row r="70" spans="2:8" x14ac:dyDescent="0.25">
      <c r="B70" s="101"/>
      <c r="C70" s="102"/>
      <c r="D70" s="95">
        <f t="shared" si="0"/>
        <v>0</v>
      </c>
      <c r="E70" s="94"/>
      <c r="F70" s="50"/>
      <c r="G70" s="40" t="str">
        <f t="shared" si="1"/>
        <v/>
      </c>
      <c r="H70" s="17"/>
    </row>
    <row r="71" spans="2:8" x14ac:dyDescent="0.25">
      <c r="B71" s="101"/>
      <c r="C71" s="102"/>
      <c r="D71" s="95">
        <f t="shared" si="0"/>
        <v>0</v>
      </c>
      <c r="E71" s="94"/>
      <c r="F71" s="50"/>
      <c r="G71" s="40" t="str">
        <f t="shared" si="1"/>
        <v/>
      </c>
    </row>
    <row r="72" spans="2:8" x14ac:dyDescent="0.25">
      <c r="B72" s="101"/>
      <c r="C72" s="102"/>
      <c r="D72" s="95">
        <f t="shared" ref="D72:D90" si="2">B72*60+C72-$D$10</f>
        <v>0</v>
      </c>
      <c r="E72" s="94"/>
      <c r="F72" s="50"/>
      <c r="G72" s="40" t="str">
        <f t="shared" si="1"/>
        <v/>
      </c>
    </row>
    <row r="73" spans="2:8" x14ac:dyDescent="0.25">
      <c r="B73" s="101"/>
      <c r="C73" s="102"/>
      <c r="D73" s="95">
        <f t="shared" si="2"/>
        <v>0</v>
      </c>
      <c r="E73" s="94"/>
      <c r="F73" s="50"/>
      <c r="G73" s="40" t="str">
        <f t="shared" si="1"/>
        <v/>
      </c>
    </row>
    <row r="74" spans="2:8" x14ac:dyDescent="0.25">
      <c r="B74" s="101"/>
      <c r="C74" s="102"/>
      <c r="D74" s="95">
        <f t="shared" si="2"/>
        <v>0</v>
      </c>
      <c r="E74" s="94"/>
      <c r="F74" s="50"/>
      <c r="G74" s="40" t="str">
        <f t="shared" si="1"/>
        <v/>
      </c>
    </row>
    <row r="75" spans="2:8" x14ac:dyDescent="0.25">
      <c r="B75" s="101"/>
      <c r="C75" s="102"/>
      <c r="D75" s="95">
        <f t="shared" si="2"/>
        <v>0</v>
      </c>
      <c r="E75" s="94"/>
      <c r="F75" s="50"/>
      <c r="G75" s="40" t="str">
        <f t="shared" si="1"/>
        <v/>
      </c>
    </row>
    <row r="76" spans="2:8" x14ac:dyDescent="0.25">
      <c r="B76" s="101"/>
      <c r="C76" s="102"/>
      <c r="D76" s="95">
        <f t="shared" si="2"/>
        <v>0</v>
      </c>
      <c r="E76" s="94"/>
      <c r="F76" s="50"/>
      <c r="G76" s="40" t="str">
        <f t="shared" si="1"/>
        <v/>
      </c>
    </row>
    <row r="77" spans="2:8" x14ac:dyDescent="0.25">
      <c r="B77" s="101"/>
      <c r="C77" s="102"/>
      <c r="D77" s="95">
        <f t="shared" si="2"/>
        <v>0</v>
      </c>
      <c r="E77" s="94"/>
      <c r="F77" s="50"/>
      <c r="G77" s="40" t="str">
        <f t="shared" si="1"/>
        <v/>
      </c>
    </row>
    <row r="78" spans="2:8" x14ac:dyDescent="0.25">
      <c r="B78" s="101"/>
      <c r="C78" s="102"/>
      <c r="D78" s="95">
        <f t="shared" si="2"/>
        <v>0</v>
      </c>
      <c r="E78" s="94"/>
      <c r="F78" s="50"/>
      <c r="G78" s="40" t="str">
        <f t="shared" ref="G78:G90" si="3">IF(E78&lt;&gt;"",-((E78-$E$9)*100)/(2*($M$2+$P$2)*1000)*$E$1/1000,"")</f>
        <v/>
      </c>
    </row>
    <row r="79" spans="2:8" x14ac:dyDescent="0.25">
      <c r="B79" s="101"/>
      <c r="C79" s="102"/>
      <c r="D79" s="95">
        <f t="shared" si="2"/>
        <v>0</v>
      </c>
      <c r="E79" s="94"/>
      <c r="F79" s="50"/>
      <c r="G79" s="40" t="str">
        <f t="shared" si="3"/>
        <v/>
      </c>
    </row>
    <row r="80" spans="2:8" x14ac:dyDescent="0.25">
      <c r="B80" s="101"/>
      <c r="C80" s="102"/>
      <c r="D80" s="95">
        <f t="shared" si="2"/>
        <v>0</v>
      </c>
      <c r="E80" s="94"/>
      <c r="F80" s="50"/>
      <c r="G80" s="40" t="str">
        <f t="shared" si="3"/>
        <v/>
      </c>
    </row>
    <row r="81" spans="2:7" x14ac:dyDescent="0.25">
      <c r="B81" s="101"/>
      <c r="C81" s="102"/>
      <c r="D81" s="95">
        <f t="shared" si="2"/>
        <v>0</v>
      </c>
      <c r="E81" s="94"/>
      <c r="F81" s="50"/>
      <c r="G81" s="40" t="str">
        <f t="shared" si="3"/>
        <v/>
      </c>
    </row>
    <row r="82" spans="2:7" x14ac:dyDescent="0.25">
      <c r="B82" s="101"/>
      <c r="C82" s="102"/>
      <c r="D82" s="95">
        <f t="shared" si="2"/>
        <v>0</v>
      </c>
      <c r="E82" s="94"/>
      <c r="F82" s="50"/>
      <c r="G82" s="40" t="str">
        <f t="shared" si="3"/>
        <v/>
      </c>
    </row>
    <row r="83" spans="2:7" x14ac:dyDescent="0.25">
      <c r="B83" s="101"/>
      <c r="C83" s="102"/>
      <c r="D83" s="95">
        <f t="shared" si="2"/>
        <v>0</v>
      </c>
      <c r="E83" s="94"/>
      <c r="F83" s="50"/>
      <c r="G83" s="40" t="str">
        <f t="shared" si="3"/>
        <v/>
      </c>
    </row>
    <row r="84" spans="2:7" x14ac:dyDescent="0.25">
      <c r="B84" s="101"/>
      <c r="C84" s="102"/>
      <c r="D84" s="95">
        <f t="shared" si="2"/>
        <v>0</v>
      </c>
      <c r="E84" s="94"/>
      <c r="F84" s="50"/>
      <c r="G84" s="40" t="str">
        <f t="shared" si="3"/>
        <v/>
      </c>
    </row>
    <row r="85" spans="2:7" x14ac:dyDescent="0.25">
      <c r="B85" s="101"/>
      <c r="C85" s="102"/>
      <c r="D85" s="95">
        <f t="shared" si="2"/>
        <v>0</v>
      </c>
      <c r="E85" s="94"/>
      <c r="F85" s="50"/>
      <c r="G85" s="40" t="str">
        <f t="shared" si="3"/>
        <v/>
      </c>
    </row>
    <row r="86" spans="2:7" x14ac:dyDescent="0.25">
      <c r="B86" s="101"/>
      <c r="C86" s="102"/>
      <c r="D86" s="95">
        <f t="shared" si="2"/>
        <v>0</v>
      </c>
      <c r="E86" s="94"/>
      <c r="F86" s="50"/>
      <c r="G86" s="40" t="str">
        <f t="shared" si="3"/>
        <v/>
      </c>
    </row>
    <row r="87" spans="2:7" x14ac:dyDescent="0.25">
      <c r="B87" s="101"/>
      <c r="C87" s="102"/>
      <c r="D87" s="95">
        <f t="shared" si="2"/>
        <v>0</v>
      </c>
      <c r="E87" s="94"/>
      <c r="F87" s="50"/>
      <c r="G87" s="40" t="str">
        <f t="shared" si="3"/>
        <v/>
      </c>
    </row>
    <row r="88" spans="2:7" x14ac:dyDescent="0.25">
      <c r="B88" s="101"/>
      <c r="C88" s="102"/>
      <c r="D88" s="95">
        <f t="shared" si="2"/>
        <v>0</v>
      </c>
      <c r="E88" s="94"/>
      <c r="F88" s="50"/>
      <c r="G88" s="40" t="str">
        <f t="shared" si="3"/>
        <v/>
      </c>
    </row>
    <row r="89" spans="2:7" x14ac:dyDescent="0.25">
      <c r="B89" s="101"/>
      <c r="C89" s="102"/>
      <c r="D89" s="95">
        <f t="shared" si="2"/>
        <v>0</v>
      </c>
      <c r="E89" s="94"/>
      <c r="F89" s="50"/>
      <c r="G89" s="40" t="str">
        <f t="shared" si="3"/>
        <v/>
      </c>
    </row>
    <row r="90" spans="2:7" ht="15.75" thickBot="1" x14ac:dyDescent="0.3">
      <c r="B90" s="103">
        <v>300</v>
      </c>
      <c r="C90" s="104"/>
      <c r="D90" s="95">
        <f t="shared" si="2"/>
        <v>18000</v>
      </c>
      <c r="E90" s="94">
        <v>1000</v>
      </c>
      <c r="F90" s="50"/>
      <c r="G90" s="40">
        <f t="shared" si="3"/>
        <v>-0.10617553191489362</v>
      </c>
    </row>
  </sheetData>
  <mergeCells count="2">
    <mergeCell ref="B11:C11"/>
    <mergeCell ref="M7:N7"/>
  </mergeCells>
  <pageMargins left="0.25" right="0.25" top="0.75" bottom="0.75" header="0.3" footer="0.3"/>
  <pageSetup paperSize="9" scale="8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"/>
  <sheetViews>
    <sheetView topLeftCell="A90" workbookViewId="0">
      <selection activeCell="F123" sqref="F123"/>
    </sheetView>
  </sheetViews>
  <sheetFormatPr baseColWidth="10" defaultRowHeight="15" x14ac:dyDescent="0.25"/>
  <cols>
    <col min="1" max="1" width="33.85546875" customWidth="1"/>
    <col min="2" max="3" width="7.7109375" customWidth="1"/>
    <col min="4" max="4" width="11.42578125" customWidth="1"/>
    <col min="5" max="5" width="9" customWidth="1"/>
    <col min="6" max="6" width="10.85546875" customWidth="1"/>
    <col min="7" max="7" width="12.5703125" customWidth="1"/>
    <col min="8" max="8" width="11.28515625" customWidth="1"/>
    <col min="9" max="9" width="12.140625" customWidth="1"/>
    <col min="10" max="10" width="7.5703125" customWidth="1"/>
    <col min="11" max="11" width="7.85546875" style="21" customWidth="1"/>
    <col min="12" max="12" width="15.5703125" bestFit="1" customWidth="1"/>
  </cols>
  <sheetData>
    <row r="1" spans="1:16" ht="15.75" thickBot="1" x14ac:dyDescent="0.3">
      <c r="C1" s="81"/>
      <c r="D1" s="82" t="s">
        <v>37</v>
      </c>
      <c r="E1" s="80">
        <f>E3+E5+E7</f>
        <v>60</v>
      </c>
      <c r="G1" s="18">
        <f>E1/1000000</f>
        <v>6.0000000000000002E-5</v>
      </c>
      <c r="L1" s="68" t="s">
        <v>33</v>
      </c>
      <c r="M1" s="69" t="s">
        <v>18</v>
      </c>
      <c r="N1" s="69" t="s">
        <v>19</v>
      </c>
      <c r="O1" s="69" t="s">
        <v>17</v>
      </c>
      <c r="P1" s="70" t="s">
        <v>20</v>
      </c>
    </row>
    <row r="2" spans="1:16" ht="34.5" thickBot="1" x14ac:dyDescent="0.3">
      <c r="A2" s="86"/>
      <c r="B2" s="87"/>
      <c r="C2" s="87"/>
      <c r="D2" s="90"/>
      <c r="E2" s="90"/>
      <c r="F2" s="87"/>
      <c r="G2" s="88" t="s">
        <v>35</v>
      </c>
      <c r="H2" s="89"/>
      <c r="I2" s="19" t="s">
        <v>38</v>
      </c>
      <c r="J2" s="19"/>
      <c r="L2" s="71" t="s">
        <v>36</v>
      </c>
      <c r="M2" s="72">
        <v>7.34</v>
      </c>
      <c r="N2" s="72">
        <v>7.6800000000000006</v>
      </c>
      <c r="O2" s="72">
        <v>7.63</v>
      </c>
      <c r="P2" s="73">
        <v>34.96</v>
      </c>
    </row>
    <row r="3" spans="1:16" ht="15.75" thickBot="1" x14ac:dyDescent="0.3">
      <c r="A3" s="24" t="s">
        <v>26</v>
      </c>
      <c r="B3" s="27"/>
      <c r="C3" s="27"/>
      <c r="D3" s="91" t="s">
        <v>29</v>
      </c>
      <c r="E3" s="92">
        <v>20</v>
      </c>
      <c r="F3" s="27" t="s">
        <v>30</v>
      </c>
      <c r="G3" s="76">
        <v>0.05</v>
      </c>
      <c r="H3" s="28" t="s">
        <v>1</v>
      </c>
      <c r="I3" s="20">
        <f>(E3*G3)/($E$1)</f>
        <v>1.6666666666666666E-2</v>
      </c>
      <c r="J3" s="19" t="s">
        <v>1</v>
      </c>
      <c r="K3" s="62">
        <f>(1000*E3*G3)/($E$1)</f>
        <v>16.666666666666668</v>
      </c>
      <c r="L3" s="45"/>
      <c r="M3" s="14"/>
      <c r="N3" s="14"/>
      <c r="O3" s="14"/>
      <c r="P3" s="14"/>
    </row>
    <row r="4" spans="1:16" x14ac:dyDescent="0.25">
      <c r="A4" s="24"/>
      <c r="B4" s="27"/>
      <c r="C4" s="27"/>
      <c r="D4" s="27"/>
      <c r="E4" s="84"/>
      <c r="F4" s="27"/>
      <c r="G4" s="77"/>
      <c r="H4" s="28"/>
      <c r="I4" s="20"/>
      <c r="J4" s="19"/>
      <c r="K4" s="63"/>
      <c r="M4" s="64" t="s">
        <v>42</v>
      </c>
      <c r="N4" s="65">
        <f>(K5*M2+K5*N2+K7*O2+K7*P2)/100</f>
        <v>1.9203333333333337</v>
      </c>
    </row>
    <row r="5" spans="1:16" x14ac:dyDescent="0.25">
      <c r="A5" s="24" t="s">
        <v>27</v>
      </c>
      <c r="B5" s="27"/>
      <c r="C5" s="27"/>
      <c r="D5" s="22" t="s">
        <v>31</v>
      </c>
      <c r="E5" s="83">
        <v>20</v>
      </c>
      <c r="F5" s="27" t="s">
        <v>30</v>
      </c>
      <c r="G5" s="76">
        <v>0.01</v>
      </c>
      <c r="H5" s="28" t="s">
        <v>1</v>
      </c>
      <c r="I5" s="20">
        <f>(E5*G5)/($E$1)</f>
        <v>3.3333333333333335E-3</v>
      </c>
      <c r="J5" s="19" t="s">
        <v>1</v>
      </c>
      <c r="K5" s="62">
        <f>(1000*E5*G5)/($E$1)</f>
        <v>3.3333333333333335</v>
      </c>
      <c r="M5" s="24"/>
      <c r="N5" s="28"/>
      <c r="P5" s="53">
        <f>(N4-N6)/2+N6</f>
        <v>1.2153333333333336</v>
      </c>
    </row>
    <row r="6" spans="1:16" ht="15.75" thickBot="1" x14ac:dyDescent="0.3">
      <c r="A6" s="24"/>
      <c r="B6" s="27"/>
      <c r="C6" s="27"/>
      <c r="D6" s="27"/>
      <c r="E6" s="84"/>
      <c r="F6" s="27"/>
      <c r="G6" s="78"/>
      <c r="H6" s="28"/>
      <c r="I6" s="20"/>
      <c r="J6" s="19"/>
      <c r="K6" s="63"/>
      <c r="M6" s="66" t="s">
        <v>50</v>
      </c>
      <c r="N6" s="67">
        <f>(K5*N2+K7*O2+(K7-K5)*P2)/100</f>
        <v>0.51033333333333331</v>
      </c>
    </row>
    <row r="7" spans="1:16" ht="15.75" thickBot="1" x14ac:dyDescent="0.3">
      <c r="A7" s="25" t="s">
        <v>28</v>
      </c>
      <c r="B7" s="29"/>
      <c r="C7" s="29"/>
      <c r="D7" s="23" t="s">
        <v>32</v>
      </c>
      <c r="E7" s="85">
        <v>20</v>
      </c>
      <c r="F7" s="29" t="s">
        <v>30</v>
      </c>
      <c r="G7" s="79">
        <v>0.01</v>
      </c>
      <c r="H7" s="30" t="s">
        <v>1</v>
      </c>
      <c r="I7" s="20">
        <f>(E7*G7)/($E$1)</f>
        <v>3.3333333333333335E-3</v>
      </c>
      <c r="J7" s="19" t="s">
        <v>1</v>
      </c>
      <c r="K7" s="62">
        <f>(1000*E7*G7)/($E$1)</f>
        <v>3.3333333333333335</v>
      </c>
      <c r="M7" s="121" t="s">
        <v>52</v>
      </c>
      <c r="N7" s="121"/>
    </row>
    <row r="8" spans="1:16" ht="9.75" customHeight="1" x14ac:dyDescent="0.25">
      <c r="K8"/>
    </row>
    <row r="9" spans="1:16" x14ac:dyDescent="0.25">
      <c r="A9" t="s">
        <v>34</v>
      </c>
      <c r="D9" s="51" t="s">
        <v>48</v>
      </c>
      <c r="E9" s="51">
        <v>1.95</v>
      </c>
      <c r="F9" t="s">
        <v>49</v>
      </c>
      <c r="L9" s="20">
        <f>I5*E1/(1000*2)</f>
        <v>1E-4</v>
      </c>
    </row>
    <row r="10" spans="1:16" ht="5.25" customHeight="1" thickBot="1" x14ac:dyDescent="0.3"/>
    <row r="11" spans="1:16" ht="15.75" thickBot="1" x14ac:dyDescent="0.3">
      <c r="B11" s="124" t="s">
        <v>39</v>
      </c>
      <c r="C11" s="125"/>
      <c r="D11" s="32" t="s">
        <v>47</v>
      </c>
      <c r="E11" s="33" t="s">
        <v>39</v>
      </c>
      <c r="F11" s="26"/>
      <c r="G11" s="38" t="s">
        <v>40</v>
      </c>
    </row>
    <row r="12" spans="1:16" ht="45.75" thickBot="1" x14ac:dyDescent="0.3">
      <c r="A12" s="26"/>
      <c r="B12" s="46" t="s">
        <v>45</v>
      </c>
      <c r="C12" s="47" t="s">
        <v>46</v>
      </c>
      <c r="D12" s="32" t="s">
        <v>41</v>
      </c>
      <c r="E12" s="37" t="s">
        <v>43</v>
      </c>
      <c r="F12" s="31"/>
      <c r="G12" s="54" t="s">
        <v>51</v>
      </c>
    </row>
    <row r="13" spans="1:16" ht="15.75" thickBot="1" x14ac:dyDescent="0.3">
      <c r="A13" s="26"/>
      <c r="B13" s="48"/>
      <c r="C13" s="48">
        <v>13</v>
      </c>
      <c r="D13" s="34">
        <f>B13*60+C13</f>
        <v>13</v>
      </c>
      <c r="E13" s="43">
        <v>1.944</v>
      </c>
      <c r="F13" s="50">
        <f>IF(E13&lt;&gt;"",-((E13-$E$9)*100)/(2*($M$2+$P$2)*1000)*$E$1/1000,"")</f>
        <v>4.2553191489361741E-7</v>
      </c>
      <c r="G13" s="39">
        <f>IF(E13&lt;&gt;"",-((E13-$E$9)*100)/(2*($M$2+$P$2)*1000)*$E$1/1000,"")</f>
        <v>4.2553191489361741E-7</v>
      </c>
      <c r="H13" t="s">
        <v>44</v>
      </c>
    </row>
    <row r="14" spans="1:16" ht="15.75" thickBot="1" x14ac:dyDescent="0.3">
      <c r="A14" s="41"/>
      <c r="B14" s="48"/>
      <c r="C14" s="48">
        <v>27</v>
      </c>
      <c r="D14" s="35">
        <f t="shared" ref="D14:D77" si="0">B14*60+C14</f>
        <v>27</v>
      </c>
      <c r="E14" s="44">
        <v>1.9370000000000001</v>
      </c>
      <c r="F14" s="50">
        <f t="shared" ref="F14:F72" si="1">IF(E14&lt;&gt;"",-((E14-$E$9)*100)/(2*($M$2+$P$2)*1000)*$E$1/1000,"")</f>
        <v>9.2198581560282977E-7</v>
      </c>
      <c r="G14" s="39">
        <f t="shared" ref="G14:G77" si="2">IF(E14&lt;&gt;"",-((E14-$E$9)*100)/(2*($M$2+$P$2)*1000)*$E$1/1000,"")</f>
        <v>9.2198581560282977E-7</v>
      </c>
      <c r="H14" s="17">
        <f>G14-G13/D14-D13</f>
        <v>-12.999999093774626</v>
      </c>
      <c r="I14" s="17"/>
      <c r="J14" s="17"/>
    </row>
    <row r="15" spans="1:16" ht="15.75" thickBot="1" x14ac:dyDescent="0.3">
      <c r="A15" s="41"/>
      <c r="B15" s="48"/>
      <c r="C15" s="48">
        <v>40</v>
      </c>
      <c r="D15" s="35">
        <f t="shared" si="0"/>
        <v>40</v>
      </c>
      <c r="E15" s="44">
        <v>1.9319999999999999</v>
      </c>
      <c r="F15" s="50">
        <f t="shared" si="1"/>
        <v>1.2765957446808521E-6</v>
      </c>
      <c r="G15" s="39">
        <f t="shared" si="2"/>
        <v>1.2765957446808521E-6</v>
      </c>
      <c r="H15" s="17">
        <f t="shared" ref="H15:H72" si="3">G15-G14/D15-D14</f>
        <v>-26.999998746453901</v>
      </c>
      <c r="I15" s="17"/>
      <c r="J15" s="17"/>
    </row>
    <row r="16" spans="1:16" ht="15.75" thickBot="1" x14ac:dyDescent="0.3">
      <c r="A16" s="41"/>
      <c r="B16" s="48"/>
      <c r="C16" s="48">
        <v>50</v>
      </c>
      <c r="D16" s="35">
        <f t="shared" si="0"/>
        <v>50</v>
      </c>
      <c r="E16" s="44">
        <v>1.9279999999999999</v>
      </c>
      <c r="F16" s="50">
        <f t="shared" si="1"/>
        <v>1.5602836879432641E-6</v>
      </c>
      <c r="G16" s="39">
        <f t="shared" si="2"/>
        <v>1.5602836879432641E-6</v>
      </c>
      <c r="H16" s="17">
        <f t="shared" si="3"/>
        <v>-39.999998465248225</v>
      </c>
      <c r="I16" s="17"/>
      <c r="J16" s="17"/>
    </row>
    <row r="17" spans="1:12" ht="15.75" thickBot="1" x14ac:dyDescent="0.3">
      <c r="A17" s="41"/>
      <c r="B17" s="48">
        <v>1</v>
      </c>
      <c r="C17" s="48"/>
      <c r="D17" s="35">
        <f t="shared" si="0"/>
        <v>60</v>
      </c>
      <c r="E17" s="44">
        <v>1.925</v>
      </c>
      <c r="F17" s="50">
        <f t="shared" si="1"/>
        <v>1.7730496453900646E-6</v>
      </c>
      <c r="G17" s="39">
        <f t="shared" si="2"/>
        <v>1.7730496453900646E-6</v>
      </c>
      <c r="H17" s="17">
        <f t="shared" si="3"/>
        <v>-49.999998252955081</v>
      </c>
      <c r="I17" s="17"/>
      <c r="J17" s="17"/>
    </row>
    <row r="18" spans="1:12" ht="15.75" thickBot="1" x14ac:dyDescent="0.3">
      <c r="A18" s="41"/>
      <c r="B18" s="48">
        <v>1</v>
      </c>
      <c r="C18" s="48">
        <v>33</v>
      </c>
      <c r="D18" s="35">
        <f t="shared" si="0"/>
        <v>93</v>
      </c>
      <c r="E18" s="44">
        <v>1.913</v>
      </c>
      <c r="F18" s="50">
        <f t="shared" si="1"/>
        <v>2.6241134751772995E-6</v>
      </c>
      <c r="G18" s="39">
        <f t="shared" si="2"/>
        <v>2.6241134751772995E-6</v>
      </c>
      <c r="H18" s="17">
        <f t="shared" si="3"/>
        <v>-59.999997394951578</v>
      </c>
      <c r="I18" s="17"/>
      <c r="J18" s="17"/>
    </row>
    <row r="19" spans="1:12" ht="15.75" thickBot="1" x14ac:dyDescent="0.3">
      <c r="A19" s="41"/>
      <c r="B19" s="48">
        <v>2</v>
      </c>
      <c r="C19" s="48"/>
      <c r="D19" s="35">
        <f t="shared" si="0"/>
        <v>120</v>
      </c>
      <c r="E19" s="44">
        <v>1.903</v>
      </c>
      <c r="F19" s="50">
        <f t="shared" si="1"/>
        <v>3.3333333333333287E-6</v>
      </c>
      <c r="G19" s="39">
        <f t="shared" si="2"/>
        <v>3.3333333333333287E-6</v>
      </c>
      <c r="H19" s="17">
        <f t="shared" si="3"/>
        <v>-92.999996688534281</v>
      </c>
      <c r="I19" s="17"/>
      <c r="J19" s="17"/>
    </row>
    <row r="20" spans="1:12" ht="15.75" thickBot="1" x14ac:dyDescent="0.3">
      <c r="A20" s="41"/>
      <c r="B20" s="48">
        <v>2</v>
      </c>
      <c r="C20" s="48">
        <v>35</v>
      </c>
      <c r="D20" s="35">
        <f t="shared" si="0"/>
        <v>155</v>
      </c>
      <c r="E20" s="44">
        <v>1.891</v>
      </c>
      <c r="F20" s="50">
        <f t="shared" si="1"/>
        <v>4.1843971631205634E-6</v>
      </c>
      <c r="G20" s="39">
        <f t="shared" si="2"/>
        <v>4.1843971631205634E-6</v>
      </c>
      <c r="H20" s="17">
        <f t="shared" si="3"/>
        <v>-119.99999583710822</v>
      </c>
      <c r="I20" s="17"/>
      <c r="J20" s="17"/>
    </row>
    <row r="21" spans="1:12" ht="15.75" thickBot="1" x14ac:dyDescent="0.3">
      <c r="A21" s="41"/>
      <c r="B21" s="48">
        <v>3</v>
      </c>
      <c r="C21" s="48"/>
      <c r="D21" s="35">
        <f t="shared" si="0"/>
        <v>180</v>
      </c>
      <c r="E21" s="44">
        <v>1.883</v>
      </c>
      <c r="F21" s="50">
        <f t="shared" si="1"/>
        <v>4.7517730496453865E-6</v>
      </c>
      <c r="G21" s="39">
        <f t="shared" si="2"/>
        <v>4.7517730496453865E-6</v>
      </c>
      <c r="H21" s="17">
        <f t="shared" si="3"/>
        <v>-154.99999527147361</v>
      </c>
      <c r="I21" s="17"/>
      <c r="J21" s="17"/>
    </row>
    <row r="22" spans="1:12" ht="15.75" thickBot="1" x14ac:dyDescent="0.3">
      <c r="A22" s="41"/>
      <c r="B22" s="48">
        <v>3</v>
      </c>
      <c r="C22" s="48">
        <v>30</v>
      </c>
      <c r="D22" s="35">
        <f t="shared" si="0"/>
        <v>210</v>
      </c>
      <c r="E22" s="44">
        <v>1.8740000000000001</v>
      </c>
      <c r="F22" s="50">
        <f t="shared" si="1"/>
        <v>5.390070921985805E-6</v>
      </c>
      <c r="G22" s="39">
        <f t="shared" si="2"/>
        <v>5.390070921985805E-6</v>
      </c>
      <c r="H22" s="17">
        <f t="shared" si="3"/>
        <v>-179.99999463255656</v>
      </c>
      <c r="I22" s="17"/>
      <c r="J22" s="17"/>
    </row>
    <row r="23" spans="1:12" ht="15.75" thickBot="1" x14ac:dyDescent="0.3">
      <c r="A23" s="41"/>
      <c r="B23" s="48">
        <v>4</v>
      </c>
      <c r="C23" s="48"/>
      <c r="D23" s="35">
        <f t="shared" si="0"/>
        <v>240</v>
      </c>
      <c r="E23" s="44">
        <v>1.863</v>
      </c>
      <c r="F23" s="50">
        <f t="shared" si="1"/>
        <v>6.170212765957444E-6</v>
      </c>
      <c r="G23" s="39">
        <f t="shared" si="2"/>
        <v>6.170212765957444E-6</v>
      </c>
      <c r="H23" s="17">
        <f t="shared" si="3"/>
        <v>-209.99999385224586</v>
      </c>
      <c r="I23" s="17"/>
      <c r="J23" s="17"/>
    </row>
    <row r="24" spans="1:12" ht="15.75" thickBot="1" x14ac:dyDescent="0.3">
      <c r="A24" s="41"/>
      <c r="B24" s="48">
        <v>4</v>
      </c>
      <c r="C24" s="48">
        <v>30</v>
      </c>
      <c r="D24" s="35">
        <f t="shared" si="0"/>
        <v>270</v>
      </c>
      <c r="E24" s="44">
        <v>1.8540000000000001</v>
      </c>
      <c r="F24" s="50">
        <f t="shared" si="1"/>
        <v>6.8085106382978633E-6</v>
      </c>
      <c r="G24" s="39">
        <f t="shared" si="2"/>
        <v>6.8085106382978633E-6</v>
      </c>
      <c r="H24" s="17">
        <f t="shared" si="3"/>
        <v>-239.999993214342</v>
      </c>
      <c r="I24" s="17"/>
      <c r="J24" s="17"/>
    </row>
    <row r="25" spans="1:12" ht="15.75" thickBot="1" x14ac:dyDescent="0.3">
      <c r="A25" s="41"/>
      <c r="B25" s="48">
        <v>5</v>
      </c>
      <c r="C25" s="48">
        <v>9</v>
      </c>
      <c r="D25" s="35">
        <f t="shared" si="0"/>
        <v>309</v>
      </c>
      <c r="E25" s="44">
        <v>1.84</v>
      </c>
      <c r="F25" s="50">
        <f t="shared" si="1"/>
        <v>7.8014184397163028E-6</v>
      </c>
      <c r="G25" s="39">
        <f t="shared" si="2"/>
        <v>7.8014184397163028E-6</v>
      </c>
      <c r="H25" s="17">
        <f t="shared" si="3"/>
        <v>-269.99999222061558</v>
      </c>
    </row>
    <row r="26" spans="1:12" ht="15.75" thickBot="1" x14ac:dyDescent="0.3">
      <c r="A26" s="41"/>
      <c r="B26" s="48">
        <v>5</v>
      </c>
      <c r="C26" s="48">
        <v>35</v>
      </c>
      <c r="D26" s="35">
        <f t="shared" si="0"/>
        <v>335</v>
      </c>
      <c r="E26" s="44">
        <v>1.8320000000000001</v>
      </c>
      <c r="F26" s="50">
        <f t="shared" si="1"/>
        <v>8.3687943262411268E-6</v>
      </c>
      <c r="G26" s="39">
        <f t="shared" si="2"/>
        <v>8.3687943262411268E-6</v>
      </c>
      <c r="H26" s="17">
        <f t="shared" si="3"/>
        <v>-308.9999916544935</v>
      </c>
      <c r="L26" s="16">
        <f>G16/G3</f>
        <v>3.1205673758865279E-5</v>
      </c>
    </row>
    <row r="27" spans="1:12" ht="15.75" thickBot="1" x14ac:dyDescent="0.3">
      <c r="A27" s="41"/>
      <c r="B27" s="48">
        <v>6</v>
      </c>
      <c r="C27" s="48">
        <v>10</v>
      </c>
      <c r="D27" s="35">
        <f t="shared" si="0"/>
        <v>370</v>
      </c>
      <c r="E27" s="44">
        <v>1.821</v>
      </c>
      <c r="F27" s="50">
        <f t="shared" si="1"/>
        <v>9.1489361702127665E-6</v>
      </c>
      <c r="G27" s="39">
        <f t="shared" si="2"/>
        <v>9.1489361702127665E-6</v>
      </c>
      <c r="H27" s="17">
        <f t="shared" si="3"/>
        <v>-334.99999087368218</v>
      </c>
    </row>
    <row r="28" spans="1:12" ht="15.75" thickBot="1" x14ac:dyDescent="0.3">
      <c r="A28" s="41"/>
      <c r="B28" s="48">
        <v>6</v>
      </c>
      <c r="C28" s="48">
        <v>36</v>
      </c>
      <c r="D28" s="35">
        <f t="shared" si="0"/>
        <v>396</v>
      </c>
      <c r="E28" s="44">
        <v>1.8140000000000001</v>
      </c>
      <c r="F28" s="50">
        <f t="shared" si="1"/>
        <v>9.645390070921979E-6</v>
      </c>
      <c r="G28" s="39">
        <f t="shared" si="2"/>
        <v>9.645390070921979E-6</v>
      </c>
      <c r="H28" s="17">
        <f t="shared" si="3"/>
        <v>-369.99999037771329</v>
      </c>
    </row>
    <row r="29" spans="1:12" ht="15.75" thickBot="1" x14ac:dyDescent="0.3">
      <c r="A29" s="42"/>
      <c r="B29" s="48">
        <v>7</v>
      </c>
      <c r="C29" s="48">
        <v>5</v>
      </c>
      <c r="D29" s="35">
        <f t="shared" si="0"/>
        <v>425</v>
      </c>
      <c r="E29" s="44">
        <v>1.806</v>
      </c>
      <c r="F29" s="50">
        <f t="shared" si="1"/>
        <v>1.0212765957446803E-5</v>
      </c>
      <c r="G29" s="39">
        <f t="shared" si="2"/>
        <v>1.0212765957446803E-5</v>
      </c>
      <c r="H29" s="17">
        <f t="shared" si="3"/>
        <v>-395.9999898099291</v>
      </c>
    </row>
    <row r="30" spans="1:12" ht="15.75" thickBot="1" x14ac:dyDescent="0.3">
      <c r="A30" s="42"/>
      <c r="B30" s="48">
        <v>7</v>
      </c>
      <c r="C30" s="48">
        <v>38</v>
      </c>
      <c r="D30" s="35">
        <f t="shared" si="0"/>
        <v>458</v>
      </c>
      <c r="E30" s="44">
        <v>1.796</v>
      </c>
      <c r="F30" s="50">
        <f t="shared" si="1"/>
        <v>1.092198581560283E-5</v>
      </c>
      <c r="G30" s="39">
        <f t="shared" si="2"/>
        <v>1.092198581560283E-5</v>
      </c>
      <c r="H30" s="17">
        <f t="shared" si="3"/>
        <v>-424.9999891003128</v>
      </c>
    </row>
    <row r="31" spans="1:12" ht="15.75" thickBot="1" x14ac:dyDescent="0.3">
      <c r="A31" s="42"/>
      <c r="B31" s="48">
        <v>8</v>
      </c>
      <c r="C31" s="48">
        <v>28</v>
      </c>
      <c r="D31" s="35">
        <f t="shared" si="0"/>
        <v>508</v>
      </c>
      <c r="E31" s="44">
        <v>1.782</v>
      </c>
      <c r="F31" s="50">
        <f t="shared" si="1"/>
        <v>1.1914893617021272E-5</v>
      </c>
      <c r="G31" s="39">
        <f t="shared" si="2"/>
        <v>1.1914893617021272E-5</v>
      </c>
      <c r="H31" s="17">
        <f t="shared" si="3"/>
        <v>-457.99998810660634</v>
      </c>
    </row>
    <row r="32" spans="1:12" ht="15.75" thickBot="1" x14ac:dyDescent="0.3">
      <c r="A32" s="42"/>
      <c r="B32" s="48">
        <v>9</v>
      </c>
      <c r="C32" s="48"/>
      <c r="D32" s="35">
        <f t="shared" si="0"/>
        <v>540</v>
      </c>
      <c r="E32" s="44">
        <v>1.772</v>
      </c>
      <c r="F32" s="50">
        <f t="shared" si="1"/>
        <v>1.2624113475177302E-5</v>
      </c>
      <c r="G32" s="39">
        <f t="shared" si="2"/>
        <v>1.2624113475177302E-5</v>
      </c>
      <c r="H32" s="17">
        <f t="shared" si="3"/>
        <v>-507.99998739795114</v>
      </c>
    </row>
    <row r="33" spans="1:8" ht="15.75" thickBot="1" x14ac:dyDescent="0.3">
      <c r="A33" s="42"/>
      <c r="B33" s="48">
        <v>9</v>
      </c>
      <c r="C33" s="48">
        <v>30</v>
      </c>
      <c r="D33" s="35">
        <f t="shared" si="0"/>
        <v>570</v>
      </c>
      <c r="E33" s="36">
        <v>1.7629999999999999</v>
      </c>
      <c r="F33" s="50">
        <f t="shared" si="1"/>
        <v>1.3262411347517735E-5</v>
      </c>
      <c r="G33" s="39">
        <f t="shared" si="2"/>
        <v>1.3262411347517735E-5</v>
      </c>
      <c r="H33" s="17">
        <f t="shared" si="3"/>
        <v>-539.9999867597362</v>
      </c>
    </row>
    <row r="34" spans="1:8" ht="15.75" thickBot="1" x14ac:dyDescent="0.3">
      <c r="A34" s="42"/>
      <c r="B34" s="48">
        <v>10</v>
      </c>
      <c r="C34" s="48">
        <v>7</v>
      </c>
      <c r="D34" s="35">
        <f t="shared" si="0"/>
        <v>607</v>
      </c>
      <c r="E34" s="36">
        <v>1.7529999999999999</v>
      </c>
      <c r="F34" s="50">
        <f t="shared" si="1"/>
        <v>1.3971631205673764E-5</v>
      </c>
      <c r="G34" s="39">
        <f t="shared" si="2"/>
        <v>1.3971631205673764E-5</v>
      </c>
      <c r="H34" s="17">
        <f t="shared" si="3"/>
        <v>-569.9999860502179</v>
      </c>
    </row>
    <row r="35" spans="1:8" ht="15.75" thickBot="1" x14ac:dyDescent="0.3">
      <c r="A35" s="42"/>
      <c r="B35" s="48">
        <v>10</v>
      </c>
      <c r="C35" s="48">
        <v>35</v>
      </c>
      <c r="D35" s="35">
        <f t="shared" si="0"/>
        <v>635</v>
      </c>
      <c r="E35" s="36">
        <v>1.7450000000000001</v>
      </c>
      <c r="F35" s="50">
        <f t="shared" si="1"/>
        <v>1.4539007092198571E-5</v>
      </c>
      <c r="G35" s="39">
        <f t="shared" si="2"/>
        <v>1.4539007092198571E-5</v>
      </c>
      <c r="H35" s="17">
        <f t="shared" si="3"/>
        <v>-606.9999854829955</v>
      </c>
    </row>
    <row r="36" spans="1:8" ht="15.75" thickBot="1" x14ac:dyDescent="0.3">
      <c r="A36" s="42"/>
      <c r="B36" s="48">
        <v>11</v>
      </c>
      <c r="C36" s="48"/>
      <c r="D36" s="35">
        <f t="shared" si="0"/>
        <v>660</v>
      </c>
      <c r="E36" s="36">
        <v>1.738</v>
      </c>
      <c r="F36" s="50">
        <f t="shared" si="1"/>
        <v>1.50354609929078E-5</v>
      </c>
      <c r="G36" s="39">
        <f t="shared" si="2"/>
        <v>1.50354609929078E-5</v>
      </c>
      <c r="H36" s="17">
        <f t="shared" si="3"/>
        <v>-634.99998498656782</v>
      </c>
    </row>
    <row r="37" spans="1:8" ht="15.75" thickBot="1" x14ac:dyDescent="0.3">
      <c r="A37" s="42"/>
      <c r="B37" s="48">
        <v>11</v>
      </c>
      <c r="C37" s="48">
        <v>34</v>
      </c>
      <c r="D37" s="35">
        <f t="shared" si="0"/>
        <v>694</v>
      </c>
      <c r="E37" s="36">
        <v>1.728</v>
      </c>
      <c r="F37" s="50">
        <f t="shared" si="1"/>
        <v>1.5744680851063828E-5</v>
      </c>
      <c r="G37" s="39">
        <f t="shared" si="2"/>
        <v>1.5744680851063828E-5</v>
      </c>
      <c r="H37" s="17">
        <f t="shared" si="3"/>
        <v>-659.99998427698404</v>
      </c>
    </row>
    <row r="38" spans="1:8" ht="15.75" thickBot="1" x14ac:dyDescent="0.3">
      <c r="A38" s="42"/>
      <c r="B38" s="48">
        <v>12</v>
      </c>
      <c r="C38" s="48"/>
      <c r="D38" s="35">
        <f t="shared" si="0"/>
        <v>720</v>
      </c>
      <c r="E38" s="36">
        <v>1.7210000000000001</v>
      </c>
      <c r="F38" s="50">
        <f t="shared" si="1"/>
        <v>1.6241134751773039E-5</v>
      </c>
      <c r="G38" s="39">
        <f t="shared" si="2"/>
        <v>1.6241134751773039E-5</v>
      </c>
      <c r="H38" s="17">
        <f t="shared" si="3"/>
        <v>-693.9999837807328</v>
      </c>
    </row>
    <row r="39" spans="1:8" ht="15.75" thickBot="1" x14ac:dyDescent="0.3">
      <c r="A39" s="42"/>
      <c r="B39" s="48">
        <v>12</v>
      </c>
      <c r="C39" s="48">
        <v>30</v>
      </c>
      <c r="D39" s="35">
        <f t="shared" si="0"/>
        <v>750</v>
      </c>
      <c r="E39" s="36">
        <v>1.7130000000000001</v>
      </c>
      <c r="F39" s="50">
        <f t="shared" si="1"/>
        <v>1.6808510638297863E-5</v>
      </c>
      <c r="G39" s="39">
        <f t="shared" si="2"/>
        <v>1.6808510638297863E-5</v>
      </c>
      <c r="H39" s="17">
        <f t="shared" si="3"/>
        <v>-719.99998321314422</v>
      </c>
    </row>
    <row r="40" spans="1:8" ht="15.75" thickBot="1" x14ac:dyDescent="0.3">
      <c r="A40" s="42"/>
      <c r="B40" s="48">
        <v>13</v>
      </c>
      <c r="C40" s="48"/>
      <c r="D40" s="35">
        <f t="shared" si="0"/>
        <v>780</v>
      </c>
      <c r="E40" s="36">
        <v>1.706</v>
      </c>
      <c r="F40" s="50">
        <f t="shared" si="1"/>
        <v>1.7304964539007091E-5</v>
      </c>
      <c r="G40" s="39">
        <f t="shared" si="2"/>
        <v>1.7304964539007091E-5</v>
      </c>
      <c r="H40" s="17">
        <f t="shared" si="3"/>
        <v>-749.99998271658478</v>
      </c>
    </row>
    <row r="41" spans="1:8" ht="15.75" thickBot="1" x14ac:dyDescent="0.3">
      <c r="A41" s="42"/>
      <c r="B41" s="48">
        <v>13</v>
      </c>
      <c r="C41" s="48">
        <v>38</v>
      </c>
      <c r="D41" s="35">
        <f t="shared" si="0"/>
        <v>818</v>
      </c>
      <c r="E41" s="36">
        <v>1.696</v>
      </c>
      <c r="F41" s="50">
        <f t="shared" si="1"/>
        <v>1.8014184397163118E-5</v>
      </c>
      <c r="G41" s="39">
        <f t="shared" si="2"/>
        <v>1.8014184397163118E-5</v>
      </c>
      <c r="H41" s="17">
        <f t="shared" si="3"/>
        <v>-779.99998200697087</v>
      </c>
    </row>
    <row r="42" spans="1:8" ht="15.75" thickBot="1" x14ac:dyDescent="0.3">
      <c r="A42" s="42"/>
      <c r="B42" s="48">
        <v>14</v>
      </c>
      <c r="C42" s="48">
        <v>10</v>
      </c>
      <c r="D42" s="35">
        <f t="shared" si="0"/>
        <v>850</v>
      </c>
      <c r="E42" s="36">
        <v>1.6870000000000001</v>
      </c>
      <c r="F42" s="50">
        <f t="shared" si="1"/>
        <v>1.8652482269503538E-5</v>
      </c>
      <c r="G42" s="39">
        <f t="shared" si="2"/>
        <v>1.8652482269503538E-5</v>
      </c>
      <c r="H42" s="17">
        <f t="shared" si="3"/>
        <v>-817.99998136871091</v>
      </c>
    </row>
    <row r="43" spans="1:8" ht="15.75" thickBot="1" x14ac:dyDescent="0.3">
      <c r="A43" s="42"/>
      <c r="B43" s="48">
        <v>15</v>
      </c>
      <c r="C43" s="48">
        <v>10</v>
      </c>
      <c r="D43" s="35">
        <f t="shared" si="0"/>
        <v>910</v>
      </c>
      <c r="E43" s="36">
        <v>1.6719999999999999</v>
      </c>
      <c r="F43" s="50">
        <f t="shared" si="1"/>
        <v>1.9716312056737593E-5</v>
      </c>
      <c r="G43" s="39">
        <f t="shared" si="2"/>
        <v>1.9716312056737593E-5</v>
      </c>
      <c r="H43" s="17">
        <f t="shared" si="3"/>
        <v>-849.99998030418521</v>
      </c>
    </row>
    <row r="44" spans="1:8" ht="15.75" thickBot="1" x14ac:dyDescent="0.3">
      <c r="A44" s="42"/>
      <c r="B44" s="48">
        <v>16</v>
      </c>
      <c r="C44" s="48">
        <v>10</v>
      </c>
      <c r="D44" s="35">
        <f t="shared" si="0"/>
        <v>970</v>
      </c>
      <c r="E44" s="36">
        <v>1.655</v>
      </c>
      <c r="F44" s="50">
        <f t="shared" si="1"/>
        <v>2.0921985815602834E-5</v>
      </c>
      <c r="G44" s="39">
        <f t="shared" si="2"/>
        <v>2.0921985815602834E-5</v>
      </c>
      <c r="H44" s="17">
        <f t="shared" si="3"/>
        <v>-909.9999790983403</v>
      </c>
    </row>
    <row r="45" spans="1:8" ht="15.75" thickBot="1" x14ac:dyDescent="0.3">
      <c r="A45" s="42"/>
      <c r="B45" s="48">
        <v>17</v>
      </c>
      <c r="C45" s="48">
        <v>5</v>
      </c>
      <c r="D45" s="35">
        <f t="shared" si="0"/>
        <v>1025</v>
      </c>
      <c r="E45" s="36">
        <v>1.641</v>
      </c>
      <c r="F45" s="50">
        <f t="shared" si="1"/>
        <v>2.1914893617021272E-5</v>
      </c>
      <c r="G45" s="39">
        <f t="shared" si="2"/>
        <v>2.1914893617021272E-5</v>
      </c>
      <c r="H45" s="17">
        <f t="shared" si="3"/>
        <v>-969.99997810551804</v>
      </c>
    </row>
    <row r="46" spans="1:8" ht="15.75" thickBot="1" x14ac:dyDescent="0.3">
      <c r="A46" s="42"/>
      <c r="B46" s="48">
        <v>18</v>
      </c>
      <c r="C46" s="48"/>
      <c r="D46" s="35">
        <f t="shared" si="0"/>
        <v>1080</v>
      </c>
      <c r="E46" s="36">
        <v>1.627</v>
      </c>
      <c r="F46" s="50">
        <f t="shared" si="1"/>
        <v>2.2907801418439711E-5</v>
      </c>
      <c r="G46" s="39">
        <f t="shared" si="2"/>
        <v>2.2907801418439711E-5</v>
      </c>
      <c r="H46" s="17">
        <f t="shared" si="3"/>
        <v>-1024.9999771124901</v>
      </c>
    </row>
    <row r="47" spans="1:8" ht="15.75" thickBot="1" x14ac:dyDescent="0.3">
      <c r="A47" s="42"/>
      <c r="B47" s="48">
        <v>19</v>
      </c>
      <c r="C47" s="48">
        <v>9</v>
      </c>
      <c r="D47" s="35">
        <f t="shared" si="0"/>
        <v>1149</v>
      </c>
      <c r="E47" s="36">
        <v>1.6080000000000001</v>
      </c>
      <c r="F47" s="50">
        <f t="shared" si="1"/>
        <v>2.4255319148936161E-5</v>
      </c>
      <c r="G47" s="39">
        <f t="shared" si="2"/>
        <v>2.4255319148936161E-5</v>
      </c>
      <c r="H47" s="17">
        <f t="shared" si="3"/>
        <v>-1079.9999757646181</v>
      </c>
    </row>
    <row r="48" spans="1:8" ht="15.75" thickBot="1" x14ac:dyDescent="0.3">
      <c r="A48" s="42"/>
      <c r="B48" s="48">
        <v>20</v>
      </c>
      <c r="C48" s="48"/>
      <c r="D48" s="35">
        <f t="shared" si="0"/>
        <v>1200</v>
      </c>
      <c r="E48" s="36">
        <v>1.595</v>
      </c>
      <c r="F48" s="50">
        <f t="shared" si="1"/>
        <v>2.517730496453901E-5</v>
      </c>
      <c r="G48" s="39">
        <f t="shared" si="2"/>
        <v>2.517730496453901E-5</v>
      </c>
      <c r="H48" s="17">
        <f t="shared" si="3"/>
        <v>-1148.9999748429077</v>
      </c>
    </row>
    <row r="49" spans="1:8" ht="15.75" thickBot="1" x14ac:dyDescent="0.3">
      <c r="A49" s="42"/>
      <c r="B49" s="48">
        <v>21</v>
      </c>
      <c r="C49" s="48">
        <v>10</v>
      </c>
      <c r="D49" s="35">
        <f t="shared" si="0"/>
        <v>1270</v>
      </c>
      <c r="E49" s="36">
        <v>1.581</v>
      </c>
      <c r="F49" s="50">
        <f t="shared" si="1"/>
        <v>2.6170212765957446E-5</v>
      </c>
      <c r="G49" s="39">
        <f t="shared" si="2"/>
        <v>2.6170212765957446E-5</v>
      </c>
      <c r="H49" s="17">
        <f t="shared" si="3"/>
        <v>-1199.9999738496119</v>
      </c>
    </row>
    <row r="50" spans="1:8" ht="15.75" thickBot="1" x14ac:dyDescent="0.3">
      <c r="B50" s="48">
        <v>22</v>
      </c>
      <c r="C50" s="48"/>
      <c r="D50" s="35">
        <f t="shared" si="0"/>
        <v>1320</v>
      </c>
      <c r="E50" s="36">
        <v>1.5969</v>
      </c>
      <c r="F50" s="50">
        <f t="shared" si="1"/>
        <v>2.5042553191489356E-5</v>
      </c>
      <c r="G50" s="39">
        <f t="shared" si="2"/>
        <v>2.5042553191489356E-5</v>
      </c>
      <c r="H50" s="17">
        <f t="shared" si="3"/>
        <v>-1269.9999749772728</v>
      </c>
    </row>
    <row r="51" spans="1:8" ht="15.75" thickBot="1" x14ac:dyDescent="0.3">
      <c r="B51" s="48">
        <v>23</v>
      </c>
      <c r="C51" s="48">
        <v>30</v>
      </c>
      <c r="D51" s="35">
        <f t="shared" si="0"/>
        <v>1410</v>
      </c>
      <c r="E51" s="36">
        <v>1.5489999999999999</v>
      </c>
      <c r="F51" s="50">
        <f t="shared" si="1"/>
        <v>2.8439716312056738E-5</v>
      </c>
      <c r="G51" s="39">
        <f t="shared" si="2"/>
        <v>2.8439716312056738E-5</v>
      </c>
      <c r="H51" s="17">
        <f t="shared" si="3"/>
        <v>-1319.9999715780443</v>
      </c>
    </row>
    <row r="52" spans="1:8" ht="15.75" thickBot="1" x14ac:dyDescent="0.3">
      <c r="B52" s="48">
        <v>24</v>
      </c>
      <c r="C52" s="48">
        <v>5</v>
      </c>
      <c r="D52" s="35">
        <f t="shared" si="0"/>
        <v>1445</v>
      </c>
      <c r="E52" s="36">
        <v>1.5409999999999999</v>
      </c>
      <c r="F52" s="50">
        <f t="shared" si="1"/>
        <v>2.9007092198581562E-5</v>
      </c>
      <c r="G52" s="39">
        <f t="shared" si="2"/>
        <v>2.9007092198581562E-5</v>
      </c>
      <c r="H52" s="17">
        <f t="shared" si="3"/>
        <v>-1409.9999710125892</v>
      </c>
    </row>
    <row r="53" spans="1:8" ht="15.75" thickBot="1" x14ac:dyDescent="0.3">
      <c r="B53" s="48">
        <v>25</v>
      </c>
      <c r="C53" s="48"/>
      <c r="D53" s="35">
        <f t="shared" si="0"/>
        <v>1500</v>
      </c>
      <c r="E53" s="36">
        <v>1.5289999999999999</v>
      </c>
      <c r="F53" s="50">
        <f t="shared" si="1"/>
        <v>2.9858156028368798E-5</v>
      </c>
      <c r="G53" s="39">
        <f t="shared" si="2"/>
        <v>2.9858156028368798E-5</v>
      </c>
      <c r="H53" s="17">
        <f t="shared" si="3"/>
        <v>-1444.9999701611821</v>
      </c>
    </row>
    <row r="54" spans="1:8" ht="15.75" thickBot="1" x14ac:dyDescent="0.3">
      <c r="B54" s="48">
        <v>26</v>
      </c>
      <c r="C54" s="48"/>
      <c r="D54" s="35">
        <f t="shared" si="0"/>
        <v>1560</v>
      </c>
      <c r="E54" s="36">
        <v>1.516</v>
      </c>
      <c r="F54" s="50">
        <f t="shared" si="1"/>
        <v>3.0780141843971627E-5</v>
      </c>
      <c r="G54" s="39">
        <f t="shared" si="2"/>
        <v>3.0780141843971627E-5</v>
      </c>
      <c r="H54" s="17">
        <f t="shared" si="3"/>
        <v>-1499.9999692389979</v>
      </c>
    </row>
    <row r="55" spans="1:8" ht="15.75" thickBot="1" x14ac:dyDescent="0.3">
      <c r="B55" s="48">
        <v>26</v>
      </c>
      <c r="C55" s="48">
        <v>30</v>
      </c>
      <c r="D55" s="35">
        <f t="shared" si="0"/>
        <v>1590</v>
      </c>
      <c r="E55" s="36">
        <v>1.5169999999999999</v>
      </c>
      <c r="F55" s="50">
        <f t="shared" si="1"/>
        <v>3.0709219858156027E-5</v>
      </c>
      <c r="G55" s="39">
        <f t="shared" si="2"/>
        <v>3.0709219858156027E-5</v>
      </c>
      <c r="H55" s="17">
        <f t="shared" si="3"/>
        <v>-1559.9999693101388</v>
      </c>
    </row>
    <row r="56" spans="1:8" ht="15.75" thickBot="1" x14ac:dyDescent="0.3">
      <c r="B56" s="48">
        <v>27</v>
      </c>
      <c r="C56" s="48">
        <v>5</v>
      </c>
      <c r="D56" s="35">
        <f t="shared" si="0"/>
        <v>1625</v>
      </c>
      <c r="E56" s="36">
        <v>1.502</v>
      </c>
      <c r="F56" s="50">
        <f t="shared" si="1"/>
        <v>3.1773049645390062E-5</v>
      </c>
      <c r="G56" s="39">
        <f t="shared" si="2"/>
        <v>3.1773049645390062E-5</v>
      </c>
      <c r="H56" s="17">
        <f t="shared" si="3"/>
        <v>-1589.9999682458483</v>
      </c>
    </row>
    <row r="57" spans="1:8" ht="15.75" thickBot="1" x14ac:dyDescent="0.3">
      <c r="B57" s="48">
        <v>27</v>
      </c>
      <c r="C57" s="48">
        <v>35</v>
      </c>
      <c r="D57" s="35">
        <f t="shared" si="0"/>
        <v>1655</v>
      </c>
      <c r="E57" s="36">
        <v>1.496</v>
      </c>
      <c r="F57" s="50">
        <f t="shared" si="1"/>
        <v>3.2198581560283694E-5</v>
      </c>
      <c r="G57" s="39">
        <f t="shared" si="2"/>
        <v>3.2198581560283694E-5</v>
      </c>
      <c r="H57" s="17">
        <f t="shared" si="3"/>
        <v>-1624.9999678206166</v>
      </c>
    </row>
    <row r="58" spans="1:8" ht="15.75" thickBot="1" x14ac:dyDescent="0.3">
      <c r="B58" s="48">
        <v>28</v>
      </c>
      <c r="C58" s="48">
        <v>15</v>
      </c>
      <c r="D58" s="35">
        <f t="shared" si="0"/>
        <v>1695</v>
      </c>
      <c r="E58" s="36">
        <v>1.486</v>
      </c>
      <c r="F58" s="50">
        <f t="shared" si="1"/>
        <v>3.2907801418439724E-5</v>
      </c>
      <c r="G58" s="39">
        <f t="shared" si="2"/>
        <v>3.2907801418439724E-5</v>
      </c>
      <c r="H58" s="17">
        <f t="shared" si="3"/>
        <v>-1654.9999671111948</v>
      </c>
    </row>
    <row r="59" spans="1:8" ht="15.75" thickBot="1" x14ac:dyDescent="0.3">
      <c r="B59" s="48">
        <v>29</v>
      </c>
      <c r="C59" s="48"/>
      <c r="D59" s="35">
        <f t="shared" si="0"/>
        <v>1740</v>
      </c>
      <c r="E59" s="36">
        <v>1.478</v>
      </c>
      <c r="F59" s="50">
        <f t="shared" si="1"/>
        <v>3.3475177304964534E-5</v>
      </c>
      <c r="G59" s="39">
        <f t="shared" si="2"/>
        <v>3.3475177304964534E-5</v>
      </c>
      <c r="H59" s="17">
        <f t="shared" si="3"/>
        <v>-1694.9999665437351</v>
      </c>
    </row>
    <row r="60" spans="1:8" ht="15.75" thickBot="1" x14ac:dyDescent="0.3">
      <c r="B60" s="48">
        <v>30</v>
      </c>
      <c r="C60" s="48"/>
      <c r="D60" s="35">
        <f t="shared" si="0"/>
        <v>1800</v>
      </c>
      <c r="E60" s="36">
        <v>1.466</v>
      </c>
      <c r="F60" s="50">
        <f t="shared" si="1"/>
        <v>3.432624113475177E-5</v>
      </c>
      <c r="G60" s="39">
        <f t="shared" si="2"/>
        <v>3.432624113475177E-5</v>
      </c>
      <c r="H60" s="17">
        <f t="shared" si="3"/>
        <v>-1739.9999656923562</v>
      </c>
    </row>
    <row r="61" spans="1:8" ht="15.75" thickBot="1" x14ac:dyDescent="0.3">
      <c r="B61" s="48">
        <v>31</v>
      </c>
      <c r="C61" s="48">
        <v>25</v>
      </c>
      <c r="D61" s="35">
        <f t="shared" si="0"/>
        <v>1885</v>
      </c>
      <c r="E61" s="36">
        <v>1.4490000000000001</v>
      </c>
      <c r="F61" s="50">
        <f t="shared" si="1"/>
        <v>3.5531914893617011E-5</v>
      </c>
      <c r="G61" s="39">
        <f t="shared" si="2"/>
        <v>3.5531914893617011E-5</v>
      </c>
      <c r="H61" s="17">
        <f t="shared" si="3"/>
        <v>-1799.9999644862953</v>
      </c>
    </row>
    <row r="62" spans="1:8" ht="15.75" thickBot="1" x14ac:dyDescent="0.3">
      <c r="B62" s="48">
        <v>32</v>
      </c>
      <c r="C62" s="48">
        <v>30</v>
      </c>
      <c r="D62" s="35">
        <f t="shared" si="0"/>
        <v>1950</v>
      </c>
      <c r="E62" s="36">
        <v>1.4359999999999999</v>
      </c>
      <c r="F62" s="50">
        <f t="shared" si="1"/>
        <v>3.645390070921986E-5</v>
      </c>
      <c r="G62" s="39">
        <f t="shared" si="2"/>
        <v>3.645390070921986E-5</v>
      </c>
      <c r="H62" s="17">
        <f t="shared" si="3"/>
        <v>-1884.9999635643208</v>
      </c>
    </row>
    <row r="63" spans="1:8" ht="15.75" thickBot="1" x14ac:dyDescent="0.3">
      <c r="B63" s="48">
        <v>33</v>
      </c>
      <c r="C63" s="48">
        <v>50</v>
      </c>
      <c r="D63" s="35">
        <f t="shared" si="0"/>
        <v>2030</v>
      </c>
      <c r="E63" s="36">
        <v>1.421</v>
      </c>
      <c r="F63" s="50">
        <f t="shared" si="1"/>
        <v>3.7517730496453895E-5</v>
      </c>
      <c r="G63" s="39">
        <f t="shared" si="2"/>
        <v>3.7517730496453895E-5</v>
      </c>
      <c r="H63" s="17">
        <f t="shared" si="3"/>
        <v>-1949.9999625002272</v>
      </c>
    </row>
    <row r="64" spans="1:8" ht="15.75" thickBot="1" x14ac:dyDescent="0.3">
      <c r="B64" s="48">
        <v>35</v>
      </c>
      <c r="C64" s="48"/>
      <c r="D64" s="35">
        <f t="shared" si="0"/>
        <v>2100</v>
      </c>
      <c r="E64" s="36">
        <v>1.407</v>
      </c>
      <c r="F64" s="50">
        <f t="shared" si="1"/>
        <v>3.851063829787233E-5</v>
      </c>
      <c r="G64" s="39">
        <f t="shared" si="2"/>
        <v>3.851063829787233E-5</v>
      </c>
      <c r="H64" s="17">
        <f t="shared" si="3"/>
        <v>-2029.9999615072272</v>
      </c>
    </row>
    <row r="65" spans="1:8" ht="15.75" thickBot="1" x14ac:dyDescent="0.3">
      <c r="B65" s="48">
        <v>36</v>
      </c>
      <c r="C65" s="48"/>
      <c r="D65" s="35">
        <f t="shared" si="0"/>
        <v>2160</v>
      </c>
      <c r="E65" s="36">
        <v>1.3973</v>
      </c>
      <c r="F65" s="50">
        <f t="shared" si="1"/>
        <v>3.9198581560283681E-5</v>
      </c>
      <c r="G65" s="39">
        <f t="shared" si="2"/>
        <v>3.9198581560283681E-5</v>
      </c>
      <c r="H65" s="17">
        <f t="shared" si="3"/>
        <v>-2099.9999608192475</v>
      </c>
    </row>
    <row r="66" spans="1:8" ht="15.75" thickBot="1" x14ac:dyDescent="0.3">
      <c r="B66" s="48">
        <v>37</v>
      </c>
      <c r="C66" s="48">
        <v>10</v>
      </c>
      <c r="D66" s="35">
        <f t="shared" si="0"/>
        <v>2230</v>
      </c>
      <c r="E66" s="36">
        <v>1.385</v>
      </c>
      <c r="F66" s="50">
        <f t="shared" si="1"/>
        <v>4.0070921985815596E-5</v>
      </c>
      <c r="G66" s="39">
        <f t="shared" si="2"/>
        <v>4.0070921985815596E-5</v>
      </c>
      <c r="H66" s="17">
        <f t="shared" si="3"/>
        <v>-2159.999959946656</v>
      </c>
    </row>
    <row r="67" spans="1:8" ht="15.75" thickBot="1" x14ac:dyDescent="0.3">
      <c r="B67" s="48">
        <v>40</v>
      </c>
      <c r="C67" s="48">
        <v>23</v>
      </c>
      <c r="D67" s="35">
        <f t="shared" si="0"/>
        <v>2423</v>
      </c>
      <c r="E67" s="36">
        <v>1.353</v>
      </c>
      <c r="F67" s="50">
        <f t="shared" si="1"/>
        <v>4.2340425531914885E-5</v>
      </c>
      <c r="G67" s="39">
        <f t="shared" si="2"/>
        <v>4.2340425531914885E-5</v>
      </c>
      <c r="H67" s="17">
        <f t="shared" si="3"/>
        <v>-2229.999957676112</v>
      </c>
    </row>
    <row r="68" spans="1:8" ht="15.75" thickBot="1" x14ac:dyDescent="0.3">
      <c r="B68" s="48">
        <v>42</v>
      </c>
      <c r="C68" s="48">
        <v>20</v>
      </c>
      <c r="D68" s="35">
        <f t="shared" si="0"/>
        <v>2540</v>
      </c>
      <c r="E68" s="36">
        <v>1.3340000000000001</v>
      </c>
      <c r="F68" s="50">
        <f t="shared" si="1"/>
        <v>4.3687943262411339E-5</v>
      </c>
      <c r="G68" s="39">
        <f t="shared" si="2"/>
        <v>4.3687943262411339E-5</v>
      </c>
      <c r="H68" s="17">
        <f t="shared" si="3"/>
        <v>-2422.9999563287261</v>
      </c>
    </row>
    <row r="69" spans="1:8" ht="15.75" thickBot="1" x14ac:dyDescent="0.3">
      <c r="B69" s="48">
        <v>45</v>
      </c>
      <c r="C69" s="48">
        <v>20</v>
      </c>
      <c r="D69" s="35">
        <f t="shared" si="0"/>
        <v>2720</v>
      </c>
      <c r="E69" s="36">
        <v>1.306</v>
      </c>
      <c r="F69" s="50">
        <f t="shared" si="1"/>
        <v>4.5673758865248223E-5</v>
      </c>
      <c r="G69" s="39">
        <f t="shared" si="2"/>
        <v>4.5673758865248223E-5</v>
      </c>
      <c r="H69" s="17">
        <f t="shared" si="3"/>
        <v>-2539.9999543423028</v>
      </c>
    </row>
    <row r="70" spans="1:8" ht="15.75" thickBot="1" x14ac:dyDescent="0.3">
      <c r="B70" s="48">
        <v>48</v>
      </c>
      <c r="C70" s="48">
        <v>33</v>
      </c>
      <c r="D70" s="35">
        <f t="shared" si="0"/>
        <v>2913</v>
      </c>
      <c r="E70" s="36">
        <v>1.2769999999999999</v>
      </c>
      <c r="F70" s="50">
        <f t="shared" si="1"/>
        <v>4.7730496453900713E-5</v>
      </c>
      <c r="G70" s="39">
        <f t="shared" si="2"/>
        <v>4.7730496453900713E-5</v>
      </c>
      <c r="H70" s="17">
        <f t="shared" si="3"/>
        <v>-2719.9999522851826</v>
      </c>
    </row>
    <row r="71" spans="1:8" ht="15.75" thickBot="1" x14ac:dyDescent="0.3">
      <c r="B71" s="48">
        <v>55</v>
      </c>
      <c r="C71" s="48">
        <v>50</v>
      </c>
      <c r="D71" s="35">
        <f t="shared" si="0"/>
        <v>3350</v>
      </c>
      <c r="E71" s="36">
        <v>1.216</v>
      </c>
      <c r="F71" s="50">
        <f t="shared" si="1"/>
        <v>5.2056737588652486E-5</v>
      </c>
      <c r="G71" s="39">
        <f t="shared" si="2"/>
        <v>5.2056737588652486E-5</v>
      </c>
      <c r="H71" s="17">
        <f t="shared" si="3"/>
        <v>-2912.9999479575104</v>
      </c>
    </row>
    <row r="72" spans="1:8" ht="15.75" thickBot="1" x14ac:dyDescent="0.3">
      <c r="B72" s="48">
        <v>60</v>
      </c>
      <c r="C72" s="48">
        <v>50</v>
      </c>
      <c r="D72" s="35">
        <f t="shared" si="0"/>
        <v>3650</v>
      </c>
      <c r="E72" s="36">
        <v>1.18</v>
      </c>
      <c r="F72" s="50">
        <f t="shared" si="1"/>
        <v>5.460992907801418E-5</v>
      </c>
      <c r="G72" s="39">
        <f t="shared" si="2"/>
        <v>5.460992907801418E-5</v>
      </c>
      <c r="H72" s="17">
        <f t="shared" si="3"/>
        <v>-3349.9999454043332</v>
      </c>
    </row>
    <row r="73" spans="1:8" ht="15.75" thickBot="1" x14ac:dyDescent="0.3">
      <c r="B73" s="48">
        <v>65</v>
      </c>
      <c r="C73" s="48"/>
      <c r="D73" s="35">
        <f t="shared" si="0"/>
        <v>3900</v>
      </c>
      <c r="E73" s="36">
        <v>1.1499999999999999</v>
      </c>
      <c r="G73" s="39">
        <f t="shared" si="2"/>
        <v>5.673758865248227E-5</v>
      </c>
    </row>
    <row r="74" spans="1:8" ht="15.75" thickBot="1" x14ac:dyDescent="0.3">
      <c r="B74" s="48">
        <v>75</v>
      </c>
      <c r="C74" s="48"/>
      <c r="D74" s="35">
        <f t="shared" si="0"/>
        <v>4500</v>
      </c>
      <c r="E74" s="36">
        <v>1.1000000000000001</v>
      </c>
      <c r="G74" s="39">
        <f t="shared" si="2"/>
        <v>6.0283687943262407E-5</v>
      </c>
    </row>
    <row r="75" spans="1:8" ht="15.75" thickBot="1" x14ac:dyDescent="0.3">
      <c r="B75" s="48">
        <v>85</v>
      </c>
      <c r="C75" s="48"/>
      <c r="D75" s="35">
        <f t="shared" si="0"/>
        <v>5100</v>
      </c>
      <c r="E75" s="36">
        <v>1.05</v>
      </c>
      <c r="G75" s="39">
        <f t="shared" si="2"/>
        <v>6.3829787234042536E-5</v>
      </c>
    </row>
    <row r="76" spans="1:8" ht="15.75" thickBot="1" x14ac:dyDescent="0.3">
      <c r="B76" s="48">
        <v>95</v>
      </c>
      <c r="C76" s="48"/>
      <c r="D76" s="35">
        <f t="shared" si="0"/>
        <v>5700</v>
      </c>
      <c r="E76" s="36">
        <v>0.99</v>
      </c>
      <c r="G76" s="39">
        <f t="shared" si="2"/>
        <v>6.808510638297873E-5</v>
      </c>
    </row>
    <row r="77" spans="1:8" ht="15.75" thickBot="1" x14ac:dyDescent="0.3">
      <c r="B77" s="48">
        <v>98</v>
      </c>
      <c r="C77" s="48">
        <v>50</v>
      </c>
      <c r="D77" s="35">
        <f t="shared" si="0"/>
        <v>5930</v>
      </c>
      <c r="E77" s="36">
        <v>0.96099999999999997</v>
      </c>
      <c r="G77" s="39">
        <f t="shared" si="2"/>
        <v>7.014184397163122E-5</v>
      </c>
    </row>
    <row r="78" spans="1:8" ht="15.75" thickBot="1" x14ac:dyDescent="0.3">
      <c r="A78">
        <v>8</v>
      </c>
      <c r="B78" s="48">
        <f>B77+A78</f>
        <v>106</v>
      </c>
      <c r="C78" s="48"/>
      <c r="D78" s="35">
        <f t="shared" ref="D78:D92" si="4">B78*60+C78</f>
        <v>6360</v>
      </c>
      <c r="E78" s="44">
        <f>E77*F78</f>
        <v>0.93024799999999996</v>
      </c>
      <c r="F78">
        <v>0.96799999999999997</v>
      </c>
      <c r="G78" s="39">
        <f t="shared" ref="G78:G92" si="5">IF(E78&lt;&gt;"",-((E78-$E$9)*100)/(2*($M$2+$P$2)*1000)*$E$1/1000,"")</f>
        <v>7.2322836879432632E-5</v>
      </c>
    </row>
    <row r="79" spans="1:8" ht="15.75" thickBot="1" x14ac:dyDescent="0.3">
      <c r="A79">
        <f>A78</f>
        <v>8</v>
      </c>
      <c r="B79" s="48">
        <f t="shared" ref="B79:B102" si="6">B78+A79</f>
        <v>114</v>
      </c>
      <c r="C79" s="48"/>
      <c r="D79" s="35">
        <f t="shared" si="4"/>
        <v>6840</v>
      </c>
      <c r="E79" s="44">
        <f t="shared" ref="E79:E102" si="7">E78*F79</f>
        <v>0.90048006399999991</v>
      </c>
      <c r="F79">
        <f>F78</f>
        <v>0.96799999999999997</v>
      </c>
      <c r="G79" s="39">
        <f t="shared" si="5"/>
        <v>7.4434038014184397E-5</v>
      </c>
    </row>
    <row r="80" spans="1:8" ht="15.75" thickBot="1" x14ac:dyDescent="0.3">
      <c r="A80">
        <f t="shared" ref="A80:A102" si="8">A79</f>
        <v>8</v>
      </c>
      <c r="B80" s="48">
        <f t="shared" si="6"/>
        <v>122</v>
      </c>
      <c r="C80" s="48"/>
      <c r="D80" s="35">
        <f t="shared" si="4"/>
        <v>7320</v>
      </c>
      <c r="E80" s="44">
        <f t="shared" si="7"/>
        <v>0.87166470195199985</v>
      </c>
      <c r="F80">
        <f t="shared" ref="F80:F102" si="9">F79</f>
        <v>0.96799999999999997</v>
      </c>
      <c r="G80" s="39">
        <f t="shared" si="5"/>
        <v>7.6477680712624119E-5</v>
      </c>
    </row>
    <row r="81" spans="1:7" ht="15.75" thickBot="1" x14ac:dyDescent="0.3">
      <c r="A81">
        <f t="shared" si="8"/>
        <v>8</v>
      </c>
      <c r="B81" s="48">
        <f t="shared" si="6"/>
        <v>130</v>
      </c>
      <c r="C81" s="48"/>
      <c r="D81" s="35">
        <f t="shared" si="4"/>
        <v>7800</v>
      </c>
      <c r="E81" s="44">
        <f t="shared" si="7"/>
        <v>0.84377143148953582</v>
      </c>
      <c r="F81">
        <f t="shared" si="9"/>
        <v>0.96799999999999997</v>
      </c>
      <c r="G81" s="39">
        <f t="shared" si="5"/>
        <v>7.8455926844713778E-5</v>
      </c>
    </row>
    <row r="82" spans="1:7" ht="15.75" thickBot="1" x14ac:dyDescent="0.3">
      <c r="A82">
        <f t="shared" si="8"/>
        <v>8</v>
      </c>
      <c r="B82" s="48">
        <f t="shared" si="6"/>
        <v>138</v>
      </c>
      <c r="C82" s="48"/>
      <c r="D82" s="35">
        <f t="shared" si="4"/>
        <v>8280</v>
      </c>
      <c r="E82" s="44">
        <f t="shared" si="7"/>
        <v>0.81677074568187069</v>
      </c>
      <c r="F82">
        <f t="shared" si="9"/>
        <v>0.96799999999999997</v>
      </c>
      <c r="G82" s="39">
        <f t="shared" si="5"/>
        <v>8.0370869100576545E-5</v>
      </c>
    </row>
    <row r="83" spans="1:7" ht="15.75" thickBot="1" x14ac:dyDescent="0.3">
      <c r="A83">
        <f t="shared" si="8"/>
        <v>8</v>
      </c>
      <c r="B83" s="48">
        <f t="shared" si="6"/>
        <v>146</v>
      </c>
      <c r="C83" s="48"/>
      <c r="D83" s="35">
        <f t="shared" si="4"/>
        <v>8760</v>
      </c>
      <c r="E83" s="44">
        <f t="shared" si="7"/>
        <v>0.79063408182005079</v>
      </c>
      <c r="F83">
        <f t="shared" si="9"/>
        <v>0.96799999999999997</v>
      </c>
      <c r="G83" s="39">
        <f t="shared" si="5"/>
        <v>8.2224533204251725E-5</v>
      </c>
    </row>
    <row r="84" spans="1:7" ht="15.75" thickBot="1" x14ac:dyDescent="0.3">
      <c r="A84">
        <f t="shared" si="8"/>
        <v>8</v>
      </c>
      <c r="B84" s="48">
        <f t="shared" si="6"/>
        <v>154</v>
      </c>
      <c r="C84" s="48"/>
      <c r="D84" s="35">
        <f t="shared" si="4"/>
        <v>9240</v>
      </c>
      <c r="E84" s="44">
        <f t="shared" si="7"/>
        <v>0.76533379120180911</v>
      </c>
      <c r="F84">
        <f t="shared" si="9"/>
        <v>0.96799999999999997</v>
      </c>
      <c r="G84" s="39">
        <f t="shared" si="5"/>
        <v>8.4018880056609273E-5</v>
      </c>
    </row>
    <row r="85" spans="1:7" ht="15.75" thickBot="1" x14ac:dyDescent="0.3">
      <c r="A85">
        <f t="shared" si="8"/>
        <v>8</v>
      </c>
      <c r="B85" s="48">
        <f t="shared" si="6"/>
        <v>162</v>
      </c>
      <c r="C85" s="48"/>
      <c r="D85" s="35">
        <f t="shared" si="4"/>
        <v>9720</v>
      </c>
      <c r="E85" s="44">
        <f t="shared" si="7"/>
        <v>0.74084310988335123</v>
      </c>
      <c r="F85">
        <f t="shared" si="9"/>
        <v>0.96799999999999997</v>
      </c>
      <c r="G85" s="39">
        <f t="shared" si="5"/>
        <v>8.575580780969138E-5</v>
      </c>
    </row>
    <row r="86" spans="1:7" ht="15.75" thickBot="1" x14ac:dyDescent="0.3">
      <c r="A86">
        <f t="shared" si="8"/>
        <v>8</v>
      </c>
      <c r="B86" s="48">
        <f t="shared" si="6"/>
        <v>170</v>
      </c>
      <c r="C86" s="48"/>
      <c r="D86" s="35">
        <f t="shared" si="4"/>
        <v>10200</v>
      </c>
      <c r="E86" s="44">
        <f t="shared" si="7"/>
        <v>0.71713613036708401</v>
      </c>
      <c r="F86">
        <f t="shared" si="9"/>
        <v>0.96799999999999997</v>
      </c>
      <c r="G86" s="39">
        <f t="shared" si="5"/>
        <v>8.7437153874674893E-5</v>
      </c>
    </row>
    <row r="87" spans="1:7" ht="15.75" thickBot="1" x14ac:dyDescent="0.3">
      <c r="A87">
        <f t="shared" si="8"/>
        <v>8</v>
      </c>
      <c r="B87" s="48">
        <f t="shared" si="6"/>
        <v>178</v>
      </c>
      <c r="C87" s="48"/>
      <c r="D87" s="35">
        <f t="shared" si="4"/>
        <v>10680</v>
      </c>
      <c r="E87" s="44">
        <f t="shared" si="7"/>
        <v>0.69418777419533728</v>
      </c>
      <c r="F87">
        <f t="shared" si="9"/>
        <v>0.96799999999999997</v>
      </c>
      <c r="G87" s="39">
        <f t="shared" si="5"/>
        <v>8.9064696865578914E-5</v>
      </c>
    </row>
    <row r="88" spans="1:7" ht="15.75" thickBot="1" x14ac:dyDescent="0.3">
      <c r="A88">
        <f t="shared" si="8"/>
        <v>8</v>
      </c>
      <c r="B88" s="48">
        <f t="shared" si="6"/>
        <v>186</v>
      </c>
      <c r="C88" s="48"/>
      <c r="D88" s="35">
        <f t="shared" si="4"/>
        <v>11160</v>
      </c>
      <c r="E88" s="44">
        <f t="shared" si="7"/>
        <v>0.67197376542108644</v>
      </c>
      <c r="F88">
        <f t="shared" si="9"/>
        <v>0.96799999999999997</v>
      </c>
      <c r="G88" s="39">
        <f t="shared" si="5"/>
        <v>9.0640158480774022E-5</v>
      </c>
    </row>
    <row r="89" spans="1:7" ht="15.75" thickBot="1" x14ac:dyDescent="0.3">
      <c r="A89">
        <f t="shared" si="8"/>
        <v>8</v>
      </c>
      <c r="B89" s="48">
        <f t="shared" si="6"/>
        <v>194</v>
      </c>
      <c r="C89" s="48"/>
      <c r="D89" s="35">
        <f t="shared" si="4"/>
        <v>11640</v>
      </c>
      <c r="E89" s="44">
        <f t="shared" si="7"/>
        <v>0.65047060492761166</v>
      </c>
      <c r="F89">
        <f t="shared" si="9"/>
        <v>0.96799999999999997</v>
      </c>
      <c r="G89" s="39">
        <f t="shared" si="5"/>
        <v>9.2165205324282854E-5</v>
      </c>
    </row>
    <row r="90" spans="1:7" ht="15.75" thickBot="1" x14ac:dyDescent="0.3">
      <c r="A90">
        <f t="shared" si="8"/>
        <v>8</v>
      </c>
      <c r="B90" s="48">
        <f t="shared" si="6"/>
        <v>202</v>
      </c>
      <c r="C90" s="48"/>
      <c r="D90" s="35">
        <f t="shared" si="4"/>
        <v>12120</v>
      </c>
      <c r="E90" s="44">
        <f t="shared" si="7"/>
        <v>0.62965554556992809</v>
      </c>
      <c r="F90">
        <f t="shared" si="9"/>
        <v>0.96799999999999997</v>
      </c>
      <c r="G90" s="39">
        <f t="shared" si="5"/>
        <v>9.3641450668799418E-5</v>
      </c>
    </row>
    <row r="91" spans="1:7" ht="15.75" thickBot="1" x14ac:dyDescent="0.3">
      <c r="A91">
        <f t="shared" si="8"/>
        <v>8</v>
      </c>
      <c r="B91" s="48">
        <f t="shared" si="6"/>
        <v>210</v>
      </c>
      <c r="C91" s="48"/>
      <c r="D91" s="35">
        <f t="shared" si="4"/>
        <v>12600</v>
      </c>
      <c r="E91" s="44">
        <f t="shared" si="7"/>
        <v>0.60950656811169035</v>
      </c>
      <c r="F91">
        <f t="shared" si="9"/>
        <v>0.96799999999999997</v>
      </c>
      <c r="G91" s="39">
        <f t="shared" si="5"/>
        <v>9.5070456162291476E-5</v>
      </c>
    </row>
    <row r="92" spans="1:7" ht="15.75" thickBot="1" x14ac:dyDescent="0.3">
      <c r="A92">
        <f t="shared" si="8"/>
        <v>8</v>
      </c>
      <c r="B92" s="48">
        <f t="shared" si="6"/>
        <v>218</v>
      </c>
      <c r="C92" s="48"/>
      <c r="D92" s="35">
        <f t="shared" si="4"/>
        <v>13080</v>
      </c>
      <c r="E92" s="44">
        <f t="shared" si="7"/>
        <v>0.59000235793211619</v>
      </c>
      <c r="F92">
        <f t="shared" si="9"/>
        <v>0.96799999999999997</v>
      </c>
      <c r="G92" s="39">
        <f t="shared" si="5"/>
        <v>9.6453733479991756E-5</v>
      </c>
    </row>
    <row r="93" spans="1:7" ht="15.75" thickBot="1" x14ac:dyDescent="0.3">
      <c r="A93">
        <f t="shared" si="8"/>
        <v>8</v>
      </c>
      <c r="B93" s="48">
        <f t="shared" si="6"/>
        <v>226</v>
      </c>
      <c r="C93" s="48"/>
      <c r="D93" s="35">
        <f t="shared" ref="D93:D102" si="10">B93*60+C93</f>
        <v>13560</v>
      </c>
      <c r="E93" s="44">
        <f t="shared" si="7"/>
        <v>0.57112228247828845</v>
      </c>
      <c r="F93">
        <f t="shared" si="9"/>
        <v>0.96799999999999997</v>
      </c>
      <c r="G93" s="39">
        <f t="shared" ref="G93:G102" si="11">IF(E93&lt;&gt;"",-((E93-$E$9)*100)/(2*($M$2+$P$2)*1000)*$E$1/1000,"")</f>
        <v>9.7792745923525626E-5</v>
      </c>
    </row>
    <row r="94" spans="1:7" ht="15.75" thickBot="1" x14ac:dyDescent="0.3">
      <c r="A94">
        <f t="shared" si="8"/>
        <v>8</v>
      </c>
      <c r="B94" s="48">
        <f t="shared" si="6"/>
        <v>234</v>
      </c>
      <c r="C94" s="48"/>
      <c r="D94" s="35">
        <f t="shared" si="10"/>
        <v>14040</v>
      </c>
      <c r="E94" s="44">
        <f t="shared" si="7"/>
        <v>0.55284636943898324</v>
      </c>
      <c r="F94">
        <f t="shared" si="9"/>
        <v>0.96799999999999997</v>
      </c>
      <c r="G94" s="39">
        <f t="shared" si="11"/>
        <v>9.9088909968866437E-5</v>
      </c>
    </row>
    <row r="95" spans="1:7" ht="15.75" thickBot="1" x14ac:dyDescent="0.3">
      <c r="A95">
        <f t="shared" si="8"/>
        <v>8</v>
      </c>
      <c r="B95" s="48">
        <f t="shared" si="6"/>
        <v>242</v>
      </c>
      <c r="C95" s="48"/>
      <c r="D95" s="35">
        <f t="shared" si="10"/>
        <v>14520</v>
      </c>
      <c r="E95" s="44">
        <f t="shared" si="7"/>
        <v>0.53515528561693582</v>
      </c>
      <c r="F95">
        <f t="shared" si="9"/>
        <v>0.96799999999999997</v>
      </c>
      <c r="G95" s="39">
        <f t="shared" si="11"/>
        <v>1.0034359676475633E-4</v>
      </c>
    </row>
    <row r="96" spans="1:7" ht="15.75" thickBot="1" x14ac:dyDescent="0.3">
      <c r="A96">
        <f t="shared" si="8"/>
        <v>8</v>
      </c>
      <c r="B96" s="48">
        <f t="shared" si="6"/>
        <v>250</v>
      </c>
      <c r="C96" s="48"/>
      <c r="D96" s="35">
        <f t="shared" si="10"/>
        <v>15000</v>
      </c>
      <c r="E96" s="44">
        <f t="shared" si="7"/>
        <v>0.53408497504570196</v>
      </c>
      <c r="F96">
        <v>0.998</v>
      </c>
      <c r="G96" s="39">
        <f t="shared" si="11"/>
        <v>1.0041950531590766E-4</v>
      </c>
    </row>
    <row r="97" spans="1:7" ht="15.75" thickBot="1" x14ac:dyDescent="0.3">
      <c r="A97">
        <f t="shared" si="8"/>
        <v>8</v>
      </c>
      <c r="B97" s="48">
        <f t="shared" si="6"/>
        <v>258</v>
      </c>
      <c r="C97" s="48"/>
      <c r="D97" s="35">
        <f t="shared" si="10"/>
        <v>15480</v>
      </c>
      <c r="E97" s="44">
        <f t="shared" si="7"/>
        <v>0.53301680509561056</v>
      </c>
      <c r="F97">
        <f t="shared" si="9"/>
        <v>0.998</v>
      </c>
      <c r="G97" s="39">
        <f t="shared" si="11"/>
        <v>1.0049526204995669E-4</v>
      </c>
    </row>
    <row r="98" spans="1:7" ht="15.75" thickBot="1" x14ac:dyDescent="0.3">
      <c r="A98">
        <f t="shared" si="8"/>
        <v>8</v>
      </c>
      <c r="B98" s="48">
        <f t="shared" si="6"/>
        <v>266</v>
      </c>
      <c r="C98" s="48"/>
      <c r="D98" s="35">
        <f t="shared" si="10"/>
        <v>15960</v>
      </c>
      <c r="E98" s="44">
        <f t="shared" si="7"/>
        <v>0.53195077148541936</v>
      </c>
      <c r="F98">
        <f t="shared" si="9"/>
        <v>0.998</v>
      </c>
      <c r="G98" s="39">
        <f t="shared" si="11"/>
        <v>1.0057086727053763E-4</v>
      </c>
    </row>
    <row r="99" spans="1:7" ht="15.75" thickBot="1" x14ac:dyDescent="0.3">
      <c r="A99">
        <f t="shared" si="8"/>
        <v>8</v>
      </c>
      <c r="B99" s="48">
        <f t="shared" si="6"/>
        <v>274</v>
      </c>
      <c r="C99" s="48"/>
      <c r="D99" s="35">
        <f t="shared" si="10"/>
        <v>16440</v>
      </c>
      <c r="E99" s="44">
        <f t="shared" si="7"/>
        <v>0.53088686994244849</v>
      </c>
      <c r="F99">
        <f t="shared" si="9"/>
        <v>0.998</v>
      </c>
      <c r="G99" s="39">
        <f t="shared" si="11"/>
        <v>1.0064632128067741E-4</v>
      </c>
    </row>
    <row r="100" spans="1:7" ht="15.75" thickBot="1" x14ac:dyDescent="0.3">
      <c r="A100">
        <f t="shared" si="8"/>
        <v>8</v>
      </c>
      <c r="B100" s="48">
        <f t="shared" si="6"/>
        <v>282</v>
      </c>
      <c r="C100" s="48"/>
      <c r="D100" s="35">
        <f t="shared" si="10"/>
        <v>16920</v>
      </c>
      <c r="E100" s="44">
        <f t="shared" si="7"/>
        <v>0.52982509620256357</v>
      </c>
      <c r="F100">
        <f t="shared" si="9"/>
        <v>0.998</v>
      </c>
      <c r="G100" s="39">
        <f t="shared" si="11"/>
        <v>1.007216243827969E-4</v>
      </c>
    </row>
    <row r="101" spans="1:7" ht="15.75" thickBot="1" x14ac:dyDescent="0.3">
      <c r="A101">
        <f t="shared" si="8"/>
        <v>8</v>
      </c>
      <c r="B101" s="48">
        <f t="shared" si="6"/>
        <v>290</v>
      </c>
      <c r="C101" s="48"/>
      <c r="D101" s="35">
        <f t="shared" si="10"/>
        <v>17400</v>
      </c>
      <c r="E101" s="44">
        <f t="shared" si="7"/>
        <v>0.5287654460101584</v>
      </c>
      <c r="F101">
        <f t="shared" si="9"/>
        <v>0.998</v>
      </c>
      <c r="G101" s="39">
        <f t="shared" si="11"/>
        <v>1.0079677687871216E-4</v>
      </c>
    </row>
    <row r="102" spans="1:7" ht="15.75" thickBot="1" x14ac:dyDescent="0.3">
      <c r="A102">
        <f t="shared" si="8"/>
        <v>8</v>
      </c>
      <c r="B102" s="48">
        <f t="shared" si="6"/>
        <v>298</v>
      </c>
      <c r="C102" s="48"/>
      <c r="D102" s="35">
        <f t="shared" si="10"/>
        <v>17880</v>
      </c>
      <c r="E102" s="44">
        <f t="shared" si="7"/>
        <v>0.52770791511813808</v>
      </c>
      <c r="F102">
        <f t="shared" si="9"/>
        <v>0.998</v>
      </c>
      <c r="G102" s="39">
        <f t="shared" si="11"/>
        <v>1.0087177906963559E-4</v>
      </c>
    </row>
    <row r="103" spans="1:7" ht="15.75" thickBot="1" x14ac:dyDescent="0.3">
      <c r="A103">
        <v>8</v>
      </c>
      <c r="B103" s="48">
        <v>300</v>
      </c>
      <c r="C103" s="48"/>
      <c r="D103" s="35">
        <f t="shared" ref="D103:D119" si="12">B103*60+C103</f>
        <v>18000</v>
      </c>
      <c r="E103" s="36">
        <v>0.51</v>
      </c>
      <c r="G103" s="39">
        <f t="shared" ref="G103:G119" si="13">IF(E103&lt;&gt;"",-((E103-$E$9)*100)/(2*($M$2+$P$2)*1000)*$E$1/1000,"")</f>
        <v>1.0212765957446807E-4</v>
      </c>
    </row>
    <row r="104" spans="1:7" ht="15.75" thickBot="1" x14ac:dyDescent="0.3">
      <c r="A104">
        <f t="shared" ref="A104" si="14">A103</f>
        <v>8</v>
      </c>
      <c r="B104" s="48">
        <f t="shared" ref="B104" si="15">B103+A104</f>
        <v>308</v>
      </c>
      <c r="D104" s="35">
        <f t="shared" si="12"/>
        <v>18480</v>
      </c>
      <c r="E104" s="44">
        <f>E103</f>
        <v>0.51</v>
      </c>
      <c r="F104">
        <v>0.998</v>
      </c>
      <c r="G104" s="39">
        <f t="shared" si="13"/>
        <v>1.0212765957446807E-4</v>
      </c>
    </row>
    <row r="105" spans="1:7" ht="15.75" thickBot="1" x14ac:dyDescent="0.3">
      <c r="A105">
        <f t="shared" ref="A105:A119" si="16">A104</f>
        <v>8</v>
      </c>
      <c r="B105" s="48">
        <f t="shared" ref="B105:B119" si="17">B104+A105</f>
        <v>316</v>
      </c>
      <c r="D105" s="35">
        <f t="shared" si="12"/>
        <v>18960</v>
      </c>
      <c r="E105" s="44">
        <f t="shared" ref="E105:E119" si="18">E104</f>
        <v>0.51</v>
      </c>
      <c r="F105">
        <f t="shared" ref="F105:F119" si="19">F104</f>
        <v>0.998</v>
      </c>
      <c r="G105" s="39">
        <f t="shared" si="13"/>
        <v>1.0212765957446807E-4</v>
      </c>
    </row>
    <row r="106" spans="1:7" ht="15.75" thickBot="1" x14ac:dyDescent="0.3">
      <c r="A106">
        <f t="shared" si="16"/>
        <v>8</v>
      </c>
      <c r="B106" s="48">
        <f t="shared" si="17"/>
        <v>324</v>
      </c>
      <c r="D106" s="35">
        <f t="shared" si="12"/>
        <v>19440</v>
      </c>
      <c r="E106" s="44">
        <f t="shared" si="18"/>
        <v>0.51</v>
      </c>
      <c r="F106">
        <f t="shared" si="19"/>
        <v>0.998</v>
      </c>
      <c r="G106" s="39">
        <f t="shared" si="13"/>
        <v>1.0212765957446807E-4</v>
      </c>
    </row>
    <row r="107" spans="1:7" ht="15.75" thickBot="1" x14ac:dyDescent="0.3">
      <c r="A107">
        <f t="shared" si="16"/>
        <v>8</v>
      </c>
      <c r="B107" s="48">
        <f t="shared" si="17"/>
        <v>332</v>
      </c>
      <c r="D107" s="35">
        <f t="shared" si="12"/>
        <v>19920</v>
      </c>
      <c r="E107" s="44">
        <f t="shared" si="18"/>
        <v>0.51</v>
      </c>
      <c r="F107">
        <f t="shared" si="19"/>
        <v>0.998</v>
      </c>
      <c r="G107" s="39">
        <f t="shared" si="13"/>
        <v>1.0212765957446807E-4</v>
      </c>
    </row>
    <row r="108" spans="1:7" ht="15.75" thickBot="1" x14ac:dyDescent="0.3">
      <c r="A108">
        <f t="shared" si="16"/>
        <v>8</v>
      </c>
      <c r="B108" s="48">
        <f t="shared" si="17"/>
        <v>340</v>
      </c>
      <c r="D108" s="35">
        <f t="shared" si="12"/>
        <v>20400</v>
      </c>
      <c r="E108" s="44">
        <f t="shared" si="18"/>
        <v>0.51</v>
      </c>
      <c r="F108">
        <f t="shared" si="19"/>
        <v>0.998</v>
      </c>
      <c r="G108" s="39">
        <f t="shared" si="13"/>
        <v>1.0212765957446807E-4</v>
      </c>
    </row>
    <row r="109" spans="1:7" ht="15.75" thickBot="1" x14ac:dyDescent="0.3">
      <c r="A109">
        <f t="shared" si="16"/>
        <v>8</v>
      </c>
      <c r="B109" s="48">
        <f t="shared" si="17"/>
        <v>348</v>
      </c>
      <c r="D109" s="35">
        <f t="shared" si="12"/>
        <v>20880</v>
      </c>
      <c r="E109" s="44">
        <f t="shared" si="18"/>
        <v>0.51</v>
      </c>
      <c r="F109">
        <f t="shared" si="19"/>
        <v>0.998</v>
      </c>
      <c r="G109" s="39">
        <f t="shared" si="13"/>
        <v>1.0212765957446807E-4</v>
      </c>
    </row>
    <row r="110" spans="1:7" ht="15.75" thickBot="1" x14ac:dyDescent="0.3">
      <c r="A110">
        <f t="shared" si="16"/>
        <v>8</v>
      </c>
      <c r="B110" s="48">
        <f t="shared" si="17"/>
        <v>356</v>
      </c>
      <c r="D110" s="35">
        <f t="shared" si="12"/>
        <v>21360</v>
      </c>
      <c r="E110" s="44">
        <f t="shared" si="18"/>
        <v>0.51</v>
      </c>
      <c r="F110">
        <f t="shared" si="19"/>
        <v>0.998</v>
      </c>
      <c r="G110" s="39">
        <f t="shared" si="13"/>
        <v>1.0212765957446807E-4</v>
      </c>
    </row>
    <row r="111" spans="1:7" ht="15.75" thickBot="1" x14ac:dyDescent="0.3">
      <c r="A111">
        <f t="shared" si="16"/>
        <v>8</v>
      </c>
      <c r="B111" s="48">
        <f t="shared" si="17"/>
        <v>364</v>
      </c>
      <c r="D111" s="35">
        <f t="shared" si="12"/>
        <v>21840</v>
      </c>
      <c r="E111" s="44">
        <f t="shared" si="18"/>
        <v>0.51</v>
      </c>
      <c r="F111">
        <f t="shared" si="19"/>
        <v>0.998</v>
      </c>
      <c r="G111" s="39">
        <f t="shared" si="13"/>
        <v>1.0212765957446807E-4</v>
      </c>
    </row>
    <row r="112" spans="1:7" ht="15.75" thickBot="1" x14ac:dyDescent="0.3">
      <c r="A112">
        <f t="shared" si="16"/>
        <v>8</v>
      </c>
      <c r="B112" s="48">
        <f t="shared" si="17"/>
        <v>372</v>
      </c>
      <c r="D112" s="35">
        <f t="shared" si="12"/>
        <v>22320</v>
      </c>
      <c r="E112" s="44">
        <f t="shared" si="18"/>
        <v>0.51</v>
      </c>
      <c r="F112">
        <f t="shared" si="19"/>
        <v>0.998</v>
      </c>
      <c r="G112" s="39">
        <f t="shared" si="13"/>
        <v>1.0212765957446807E-4</v>
      </c>
    </row>
    <row r="113" spans="1:7" ht="15.75" thickBot="1" x14ac:dyDescent="0.3">
      <c r="A113">
        <f t="shared" si="16"/>
        <v>8</v>
      </c>
      <c r="B113" s="48">
        <f t="shared" si="17"/>
        <v>380</v>
      </c>
      <c r="D113" s="35">
        <f t="shared" si="12"/>
        <v>22800</v>
      </c>
      <c r="E113" s="44">
        <f t="shared" si="18"/>
        <v>0.51</v>
      </c>
      <c r="F113">
        <f t="shared" si="19"/>
        <v>0.998</v>
      </c>
      <c r="G113" s="39">
        <f t="shared" si="13"/>
        <v>1.0212765957446807E-4</v>
      </c>
    </row>
    <row r="114" spans="1:7" ht="15.75" thickBot="1" x14ac:dyDescent="0.3">
      <c r="A114">
        <f t="shared" si="16"/>
        <v>8</v>
      </c>
      <c r="B114" s="48">
        <f t="shared" si="17"/>
        <v>388</v>
      </c>
      <c r="D114" s="35">
        <f t="shared" si="12"/>
        <v>23280</v>
      </c>
      <c r="E114" s="44">
        <f t="shared" si="18"/>
        <v>0.51</v>
      </c>
      <c r="F114">
        <f t="shared" si="19"/>
        <v>0.998</v>
      </c>
      <c r="G114" s="39">
        <f t="shared" si="13"/>
        <v>1.0212765957446807E-4</v>
      </c>
    </row>
    <row r="115" spans="1:7" ht="15.75" thickBot="1" x14ac:dyDescent="0.3">
      <c r="A115">
        <f t="shared" si="16"/>
        <v>8</v>
      </c>
      <c r="B115" s="48">
        <f t="shared" si="17"/>
        <v>396</v>
      </c>
      <c r="D115" s="35">
        <f t="shared" si="12"/>
        <v>23760</v>
      </c>
      <c r="E115" s="44">
        <f t="shared" si="18"/>
        <v>0.51</v>
      </c>
      <c r="F115">
        <f t="shared" si="19"/>
        <v>0.998</v>
      </c>
      <c r="G115" s="39">
        <f t="shared" si="13"/>
        <v>1.0212765957446807E-4</v>
      </c>
    </row>
    <row r="116" spans="1:7" ht="15.75" thickBot="1" x14ac:dyDescent="0.3">
      <c r="A116">
        <f t="shared" si="16"/>
        <v>8</v>
      </c>
      <c r="B116" s="48">
        <f t="shared" si="17"/>
        <v>404</v>
      </c>
      <c r="D116" s="35">
        <f t="shared" si="12"/>
        <v>24240</v>
      </c>
      <c r="E116" s="44">
        <f t="shared" si="18"/>
        <v>0.51</v>
      </c>
      <c r="F116">
        <f t="shared" si="19"/>
        <v>0.998</v>
      </c>
      <c r="G116" s="39">
        <f t="shared" si="13"/>
        <v>1.0212765957446807E-4</v>
      </c>
    </row>
    <row r="117" spans="1:7" ht="15.75" thickBot="1" x14ac:dyDescent="0.3">
      <c r="A117">
        <f t="shared" si="16"/>
        <v>8</v>
      </c>
      <c r="B117" s="48">
        <f t="shared" si="17"/>
        <v>412</v>
      </c>
      <c r="D117" s="35">
        <f t="shared" si="12"/>
        <v>24720</v>
      </c>
      <c r="E117" s="44">
        <f t="shared" si="18"/>
        <v>0.51</v>
      </c>
      <c r="F117">
        <f t="shared" si="19"/>
        <v>0.998</v>
      </c>
      <c r="G117" s="39">
        <f t="shared" si="13"/>
        <v>1.0212765957446807E-4</v>
      </c>
    </row>
    <row r="118" spans="1:7" ht="15.75" thickBot="1" x14ac:dyDescent="0.3">
      <c r="A118">
        <f t="shared" si="16"/>
        <v>8</v>
      </c>
      <c r="B118" s="48">
        <f t="shared" si="17"/>
        <v>420</v>
      </c>
      <c r="D118" s="35">
        <f t="shared" si="12"/>
        <v>25200</v>
      </c>
      <c r="E118" s="44">
        <f t="shared" si="18"/>
        <v>0.51</v>
      </c>
      <c r="F118">
        <f t="shared" si="19"/>
        <v>0.998</v>
      </c>
      <c r="G118" s="39">
        <f t="shared" si="13"/>
        <v>1.0212765957446807E-4</v>
      </c>
    </row>
    <row r="119" spans="1:7" x14ac:dyDescent="0.25">
      <c r="A119">
        <f t="shared" si="16"/>
        <v>8</v>
      </c>
      <c r="B119" s="48">
        <f t="shared" si="17"/>
        <v>428</v>
      </c>
      <c r="D119" s="35">
        <f t="shared" si="12"/>
        <v>25680</v>
      </c>
      <c r="E119" s="44">
        <f t="shared" si="18"/>
        <v>0.51</v>
      </c>
      <c r="F119">
        <f t="shared" si="19"/>
        <v>0.998</v>
      </c>
      <c r="G119" s="39">
        <f t="shared" si="13"/>
        <v>1.0212765957446807E-4</v>
      </c>
    </row>
  </sheetData>
  <mergeCells count="2">
    <mergeCell ref="B11:C11"/>
    <mergeCell ref="M7:N7"/>
  </mergeCells>
  <pageMargins left="0.25" right="0.25" top="0.75" bottom="0.75" header="0.3" footer="0.3"/>
  <pageSetup paperSize="9" scale="8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workbookViewId="0">
      <selection activeCell="P5" sqref="P5"/>
    </sheetView>
  </sheetViews>
  <sheetFormatPr baseColWidth="10" defaultRowHeight="15" x14ac:dyDescent="0.25"/>
  <cols>
    <col min="1" max="1" width="33.85546875" customWidth="1"/>
    <col min="2" max="3" width="7.7109375" customWidth="1"/>
    <col min="5" max="5" width="9" customWidth="1"/>
    <col min="6" max="6" width="8.85546875" customWidth="1"/>
    <col min="7" max="7" width="12.5703125" customWidth="1"/>
    <col min="8" max="8" width="11.28515625" customWidth="1"/>
    <col min="9" max="9" width="12.140625" customWidth="1"/>
    <col min="10" max="10" width="7.5703125" customWidth="1"/>
    <col min="11" max="11" width="7.85546875" style="21" customWidth="1"/>
    <col min="12" max="12" width="15.5703125" bestFit="1" customWidth="1"/>
  </cols>
  <sheetData>
    <row r="1" spans="1:16" ht="15.75" thickBot="1" x14ac:dyDescent="0.3">
      <c r="C1" s="81"/>
      <c r="D1" s="82" t="s">
        <v>37</v>
      </c>
      <c r="E1" s="80">
        <f>E3+E5+E7</f>
        <v>60</v>
      </c>
      <c r="G1" s="18">
        <f>E1/1000000</f>
        <v>6.0000000000000002E-5</v>
      </c>
      <c r="L1" s="68" t="s">
        <v>33</v>
      </c>
      <c r="M1" s="69" t="s">
        <v>18</v>
      </c>
      <c r="N1" s="69" t="s">
        <v>19</v>
      </c>
      <c r="O1" s="69" t="s">
        <v>17</v>
      </c>
      <c r="P1" s="70" t="s">
        <v>20</v>
      </c>
    </row>
    <row r="2" spans="1:16" ht="34.5" thickBot="1" x14ac:dyDescent="0.3">
      <c r="A2" s="86"/>
      <c r="B2" s="87"/>
      <c r="C2" s="87"/>
      <c r="D2" s="90"/>
      <c r="E2" s="90"/>
      <c r="F2" s="87"/>
      <c r="G2" s="88" t="s">
        <v>35</v>
      </c>
      <c r="H2" s="89"/>
      <c r="I2" s="19" t="s">
        <v>38</v>
      </c>
      <c r="J2" s="19"/>
      <c r="L2" s="71" t="s">
        <v>36</v>
      </c>
      <c r="M2" s="72">
        <v>7.34</v>
      </c>
      <c r="N2" s="72">
        <v>7.6800000000000006</v>
      </c>
      <c r="O2" s="72">
        <v>7.63</v>
      </c>
      <c r="P2" s="73">
        <v>34.96</v>
      </c>
    </row>
    <row r="3" spans="1:16" ht="15.75" thickBot="1" x14ac:dyDescent="0.3">
      <c r="A3" s="24" t="s">
        <v>26</v>
      </c>
      <c r="B3" s="27"/>
      <c r="C3" s="27"/>
      <c r="D3" s="91" t="s">
        <v>29</v>
      </c>
      <c r="E3" s="92">
        <v>20</v>
      </c>
      <c r="F3" s="27" t="s">
        <v>30</v>
      </c>
      <c r="G3" s="76">
        <v>0.05</v>
      </c>
      <c r="H3" s="28" t="s">
        <v>1</v>
      </c>
      <c r="I3" s="20">
        <f>(E3*G3)/($E$1)</f>
        <v>1.6666666666666666E-2</v>
      </c>
      <c r="J3" s="19" t="s">
        <v>1</v>
      </c>
      <c r="K3" s="62">
        <f>(1000*E3*G3)/($E$1)</f>
        <v>16.666666666666668</v>
      </c>
      <c r="L3" s="45"/>
      <c r="M3" s="14"/>
      <c r="N3" s="14"/>
      <c r="O3" s="14"/>
      <c r="P3" s="14"/>
    </row>
    <row r="4" spans="1:16" x14ac:dyDescent="0.25">
      <c r="A4" s="24"/>
      <c r="B4" s="27"/>
      <c r="C4" s="27"/>
      <c r="D4" s="27"/>
      <c r="E4" s="84"/>
      <c r="F4" s="27"/>
      <c r="G4" s="77"/>
      <c r="H4" s="28"/>
      <c r="I4" s="20"/>
      <c r="J4" s="19"/>
      <c r="K4" s="63"/>
      <c r="M4" s="64" t="s">
        <v>42</v>
      </c>
      <c r="N4" s="65">
        <f>(K5*M2+K5*N2+K7*O2+K7*P2)/100</f>
        <v>1.9203333333333337</v>
      </c>
    </row>
    <row r="5" spans="1:16" x14ac:dyDescent="0.25">
      <c r="A5" s="24" t="s">
        <v>27</v>
      </c>
      <c r="B5" s="27"/>
      <c r="C5" s="27"/>
      <c r="D5" s="22" t="s">
        <v>31</v>
      </c>
      <c r="E5" s="83">
        <v>20</v>
      </c>
      <c r="F5" s="27" t="s">
        <v>30</v>
      </c>
      <c r="G5" s="76">
        <v>0.01</v>
      </c>
      <c r="H5" s="28" t="s">
        <v>1</v>
      </c>
      <c r="I5" s="20">
        <f>(E5*G5)/($E$1)</f>
        <v>3.3333333333333335E-3</v>
      </c>
      <c r="J5" s="19" t="s">
        <v>1</v>
      </c>
      <c r="K5" s="62">
        <f>(1000*E5*G5)/($E$1)</f>
        <v>3.3333333333333335</v>
      </c>
      <c r="M5" s="24"/>
      <c r="N5" s="28"/>
      <c r="P5" s="53">
        <f>(N4-N6)/2+N6</f>
        <v>1.2153333333333336</v>
      </c>
    </row>
    <row r="6" spans="1:16" ht="15.75" thickBot="1" x14ac:dyDescent="0.3">
      <c r="A6" s="24"/>
      <c r="B6" s="27"/>
      <c r="C6" s="27"/>
      <c r="D6" s="27"/>
      <c r="E6" s="84"/>
      <c r="F6" s="27"/>
      <c r="G6" s="78"/>
      <c r="H6" s="28"/>
      <c r="I6" s="20"/>
      <c r="J6" s="19"/>
      <c r="K6" s="63"/>
      <c r="M6" s="66" t="s">
        <v>50</v>
      </c>
      <c r="N6" s="67">
        <f>(K5*N2+K7*O2+(K7-K5)*P2)/100</f>
        <v>0.51033333333333331</v>
      </c>
    </row>
    <row r="7" spans="1:16" ht="15.75" thickBot="1" x14ac:dyDescent="0.3">
      <c r="A7" s="25" t="s">
        <v>28</v>
      </c>
      <c r="B7" s="29"/>
      <c r="C7" s="29"/>
      <c r="D7" s="23" t="s">
        <v>32</v>
      </c>
      <c r="E7" s="85">
        <v>20</v>
      </c>
      <c r="F7" s="29" t="s">
        <v>30</v>
      </c>
      <c r="G7" s="79">
        <v>0.01</v>
      </c>
      <c r="H7" s="30" t="s">
        <v>1</v>
      </c>
      <c r="I7" s="20">
        <f>(E7*G7)/($E$1)</f>
        <v>3.3333333333333335E-3</v>
      </c>
      <c r="J7" s="19" t="s">
        <v>1</v>
      </c>
      <c r="K7" s="62">
        <f>(1000*E7*G7)/($E$1)</f>
        <v>3.3333333333333335</v>
      </c>
      <c r="M7" s="121" t="s">
        <v>52</v>
      </c>
      <c r="N7" s="121"/>
    </row>
    <row r="8" spans="1:16" x14ac:dyDescent="0.25">
      <c r="K8"/>
    </row>
    <row r="9" spans="1:16" ht="15.75" thickBot="1" x14ac:dyDescent="0.3">
      <c r="D9" s="51"/>
      <c r="E9" s="51"/>
    </row>
    <row r="10" spans="1:16" ht="15.75" thickBot="1" x14ac:dyDescent="0.3">
      <c r="A10" t="s">
        <v>34</v>
      </c>
      <c r="C10" s="81"/>
      <c r="D10" s="82" t="s">
        <v>48</v>
      </c>
      <c r="E10" s="80">
        <v>1.92</v>
      </c>
      <c r="F10" t="s">
        <v>49</v>
      </c>
      <c r="G10" s="18"/>
    </row>
    <row r="11" spans="1:16" ht="15.75" thickBot="1" x14ac:dyDescent="0.3"/>
    <row r="12" spans="1:16" ht="15.75" thickBot="1" x14ac:dyDescent="0.3">
      <c r="B12" s="124" t="s">
        <v>39</v>
      </c>
      <c r="C12" s="125"/>
      <c r="D12" s="32" t="s">
        <v>47</v>
      </c>
      <c r="E12" s="33" t="s">
        <v>39</v>
      </c>
      <c r="F12" s="26"/>
      <c r="G12" s="38" t="s">
        <v>40</v>
      </c>
    </row>
    <row r="13" spans="1:16" ht="45.75" thickBot="1" x14ac:dyDescent="0.3">
      <c r="A13" s="26"/>
      <c r="B13" s="46" t="s">
        <v>45</v>
      </c>
      <c r="C13" s="49" t="s">
        <v>46</v>
      </c>
      <c r="D13" s="32" t="s">
        <v>41</v>
      </c>
      <c r="E13" s="37" t="s">
        <v>43</v>
      </c>
      <c r="F13" s="31"/>
      <c r="G13" s="54" t="s">
        <v>51</v>
      </c>
    </row>
    <row r="14" spans="1:16" x14ac:dyDescent="0.25">
      <c r="A14" s="26"/>
      <c r="B14" s="48"/>
      <c r="C14" s="48">
        <v>26</v>
      </c>
      <c r="D14" s="59">
        <f>B14*60+C14</f>
        <v>26</v>
      </c>
      <c r="E14" s="58">
        <v>1.875</v>
      </c>
      <c r="F14" s="50"/>
      <c r="G14" s="39">
        <f>IF(E14&lt;&gt;"",-((E14-$E$10)*100)/(2*($M$2+$P$2)*1000),"")*$E$1/1000</f>
        <v>3.1914893617021227E-6</v>
      </c>
    </row>
    <row r="15" spans="1:16" x14ac:dyDescent="0.25">
      <c r="A15" s="41"/>
      <c r="B15" s="48"/>
      <c r="C15" s="48">
        <v>44</v>
      </c>
      <c r="D15" s="56">
        <f t="shared" ref="D15:D71" si="0">B15*60+C15</f>
        <v>44</v>
      </c>
      <c r="E15" s="57">
        <v>1.865</v>
      </c>
      <c r="F15" s="50"/>
      <c r="G15" s="40">
        <f t="shared" ref="G15:G71" si="1">IF(E15&lt;&gt;"",-((E15-$E$10)*100)/(2*($M$2+$P$2)*1000),"")*$E$1/1000</f>
        <v>3.9007092198581514E-6</v>
      </c>
      <c r="H15" s="17"/>
      <c r="I15" s="17"/>
      <c r="J15" s="17"/>
    </row>
    <row r="16" spans="1:16" x14ac:dyDescent="0.25">
      <c r="A16" s="41"/>
      <c r="B16" s="48"/>
      <c r="C16" s="48">
        <v>52</v>
      </c>
      <c r="D16" s="56">
        <f t="shared" si="0"/>
        <v>52</v>
      </c>
      <c r="E16" s="57">
        <v>1.86</v>
      </c>
      <c r="F16" s="50"/>
      <c r="G16" s="40">
        <f t="shared" si="1"/>
        <v>4.2553191489361579E-6</v>
      </c>
      <c r="H16" s="17"/>
      <c r="I16" s="17"/>
      <c r="J16" s="17"/>
    </row>
    <row r="17" spans="1:12" x14ac:dyDescent="0.25">
      <c r="A17" s="41"/>
      <c r="B17" s="48">
        <v>1</v>
      </c>
      <c r="C17" s="48">
        <v>9</v>
      </c>
      <c r="D17" s="56">
        <f t="shared" si="0"/>
        <v>69</v>
      </c>
      <c r="E17" s="57">
        <v>1.8560000000000001</v>
      </c>
      <c r="F17" s="50"/>
      <c r="G17" s="40">
        <f t="shared" si="1"/>
        <v>4.5390070921985691E-6</v>
      </c>
      <c r="H17" s="17"/>
      <c r="I17" s="17"/>
      <c r="J17" s="17"/>
    </row>
    <row r="18" spans="1:12" x14ac:dyDescent="0.25">
      <c r="A18" s="41"/>
      <c r="B18" s="48">
        <v>1</v>
      </c>
      <c r="C18" s="48">
        <v>42</v>
      </c>
      <c r="D18" s="56">
        <f t="shared" si="0"/>
        <v>102</v>
      </c>
      <c r="E18" s="57">
        <v>1.85</v>
      </c>
      <c r="F18" s="50"/>
      <c r="G18" s="40">
        <f t="shared" si="1"/>
        <v>4.9645390070921871E-6</v>
      </c>
      <c r="H18" s="17"/>
      <c r="I18" s="17"/>
      <c r="J18" s="17"/>
    </row>
    <row r="19" spans="1:12" x14ac:dyDescent="0.25">
      <c r="A19" s="41"/>
      <c r="B19" s="48">
        <v>2</v>
      </c>
      <c r="C19" s="48"/>
      <c r="D19" s="56">
        <f t="shared" si="0"/>
        <v>120</v>
      </c>
      <c r="E19" s="57">
        <v>1.84</v>
      </c>
      <c r="F19" s="50"/>
      <c r="G19" s="40">
        <f t="shared" si="1"/>
        <v>5.673758865248217E-6</v>
      </c>
      <c r="H19" s="17"/>
      <c r="I19" s="17"/>
      <c r="J19" s="17"/>
    </row>
    <row r="20" spans="1:12" x14ac:dyDescent="0.25">
      <c r="A20" s="41"/>
      <c r="B20" s="48">
        <v>2</v>
      </c>
      <c r="C20" s="48">
        <v>19</v>
      </c>
      <c r="D20" s="56">
        <f t="shared" si="0"/>
        <v>139</v>
      </c>
      <c r="E20" s="57">
        <v>1.835</v>
      </c>
      <c r="F20" s="50"/>
      <c r="G20" s="40">
        <f t="shared" si="1"/>
        <v>6.0283687943262388E-6</v>
      </c>
      <c r="H20" s="17"/>
      <c r="I20" s="17"/>
      <c r="J20" s="17"/>
    </row>
    <row r="21" spans="1:12" x14ac:dyDescent="0.25">
      <c r="A21" s="41"/>
      <c r="B21" s="48">
        <v>2</v>
      </c>
      <c r="C21" s="48">
        <v>40</v>
      </c>
      <c r="D21" s="56">
        <f t="shared" si="0"/>
        <v>160</v>
      </c>
      <c r="E21" s="57">
        <v>1.83</v>
      </c>
      <c r="F21" s="50"/>
      <c r="G21" s="40">
        <f t="shared" si="1"/>
        <v>6.3829787234042453E-6</v>
      </c>
      <c r="H21" s="17"/>
      <c r="I21" s="17"/>
      <c r="J21" s="17"/>
    </row>
    <row r="22" spans="1:12" x14ac:dyDescent="0.25">
      <c r="A22" s="41"/>
      <c r="B22" s="48">
        <v>2</v>
      </c>
      <c r="C22" s="48">
        <v>58</v>
      </c>
      <c r="D22" s="56">
        <f t="shared" si="0"/>
        <v>178</v>
      </c>
      <c r="E22" s="57">
        <v>1.825</v>
      </c>
      <c r="F22" s="50"/>
      <c r="G22" s="40">
        <f t="shared" si="1"/>
        <v>6.7375886524822671E-6</v>
      </c>
      <c r="H22" s="17"/>
      <c r="I22" s="17"/>
      <c r="J22" s="17"/>
    </row>
    <row r="23" spans="1:12" x14ac:dyDescent="0.25">
      <c r="A23" s="41"/>
      <c r="B23" s="48">
        <v>3</v>
      </c>
      <c r="C23" s="48">
        <v>30</v>
      </c>
      <c r="D23" s="56">
        <f t="shared" si="0"/>
        <v>210</v>
      </c>
      <c r="E23" s="57">
        <v>1.82</v>
      </c>
      <c r="F23" s="50"/>
      <c r="G23" s="40">
        <f t="shared" si="1"/>
        <v>7.0921985815602736E-6</v>
      </c>
      <c r="H23" s="17"/>
      <c r="I23" s="17"/>
      <c r="J23" s="17"/>
    </row>
    <row r="24" spans="1:12" x14ac:dyDescent="0.25">
      <c r="A24" s="41"/>
      <c r="B24" s="48">
        <v>4</v>
      </c>
      <c r="C24" s="48"/>
      <c r="D24" s="56">
        <f t="shared" si="0"/>
        <v>240</v>
      </c>
      <c r="E24" s="57">
        <v>1.8129999999999999</v>
      </c>
      <c r="F24" s="50"/>
      <c r="G24" s="40">
        <f t="shared" si="1"/>
        <v>7.5886524822695022E-6</v>
      </c>
      <c r="H24" s="17"/>
      <c r="I24" s="17"/>
      <c r="J24" s="17"/>
    </row>
    <row r="25" spans="1:12" x14ac:dyDescent="0.25">
      <c r="A25" s="41"/>
      <c r="B25" s="48">
        <v>4</v>
      </c>
      <c r="C25" s="48">
        <v>30</v>
      </c>
      <c r="D25" s="56">
        <f t="shared" si="0"/>
        <v>270</v>
      </c>
      <c r="E25" s="57">
        <v>1.806</v>
      </c>
      <c r="F25" s="50"/>
      <c r="G25" s="40">
        <f t="shared" si="1"/>
        <v>8.0851063829787148E-6</v>
      </c>
      <c r="H25" s="17"/>
      <c r="I25" s="17"/>
      <c r="J25" s="17"/>
    </row>
    <row r="26" spans="1:12" x14ac:dyDescent="0.25">
      <c r="A26" s="41"/>
      <c r="B26" s="48">
        <v>5</v>
      </c>
      <c r="C26" s="48"/>
      <c r="D26" s="56">
        <f t="shared" si="0"/>
        <v>300</v>
      </c>
      <c r="E26" s="57">
        <v>1.7909999999999999</v>
      </c>
      <c r="F26" s="50"/>
      <c r="G26" s="40">
        <f t="shared" si="1"/>
        <v>9.1489361702127665E-6</v>
      </c>
      <c r="H26" s="17"/>
    </row>
    <row r="27" spans="1:12" x14ac:dyDescent="0.25">
      <c r="A27" s="41"/>
      <c r="B27" s="48">
        <v>5</v>
      </c>
      <c r="C27" s="48">
        <v>30</v>
      </c>
      <c r="D27" s="56">
        <f t="shared" si="0"/>
        <v>330</v>
      </c>
      <c r="E27" s="57">
        <v>1.782</v>
      </c>
      <c r="F27" s="50"/>
      <c r="G27" s="40">
        <f t="shared" si="1"/>
        <v>9.7872340425531834E-6</v>
      </c>
      <c r="H27" s="17"/>
      <c r="L27" s="16">
        <f>G17/G3</f>
        <v>9.0780141843971378E-5</v>
      </c>
    </row>
    <row r="28" spans="1:12" x14ac:dyDescent="0.25">
      <c r="A28" s="41"/>
      <c r="B28" s="48">
        <v>6</v>
      </c>
      <c r="C28" s="48"/>
      <c r="D28" s="56">
        <f t="shared" si="0"/>
        <v>360</v>
      </c>
      <c r="E28" s="57">
        <v>1.77</v>
      </c>
      <c r="F28" s="50"/>
      <c r="G28" s="40">
        <f t="shared" si="1"/>
        <v>1.0638297872340419E-5</v>
      </c>
      <c r="H28" s="17"/>
    </row>
    <row r="29" spans="1:12" x14ac:dyDescent="0.25">
      <c r="A29" s="41"/>
      <c r="B29" s="48">
        <v>6</v>
      </c>
      <c r="C29" s="48">
        <v>30</v>
      </c>
      <c r="D29" s="56">
        <f t="shared" si="0"/>
        <v>390</v>
      </c>
      <c r="E29" s="57">
        <v>1.762</v>
      </c>
      <c r="F29" s="50"/>
      <c r="G29" s="40">
        <f t="shared" si="1"/>
        <v>1.1205673758865243E-5</v>
      </c>
      <c r="H29" s="17"/>
    </row>
    <row r="30" spans="1:12" x14ac:dyDescent="0.25">
      <c r="A30" s="42"/>
      <c r="B30" s="48">
        <v>7</v>
      </c>
      <c r="C30" s="48"/>
      <c r="D30" s="56">
        <f t="shared" si="0"/>
        <v>420</v>
      </c>
      <c r="E30" s="57">
        <v>1.7490000000000001</v>
      </c>
      <c r="F30" s="50"/>
      <c r="G30" s="40">
        <f t="shared" si="1"/>
        <v>1.212765957446807E-5</v>
      </c>
      <c r="H30" s="17"/>
    </row>
    <row r="31" spans="1:12" x14ac:dyDescent="0.25">
      <c r="A31" s="42"/>
      <c r="B31" s="48">
        <v>7</v>
      </c>
      <c r="C31" s="48">
        <v>30</v>
      </c>
      <c r="D31" s="56">
        <f t="shared" si="0"/>
        <v>450</v>
      </c>
      <c r="E31" s="57">
        <v>1.7430000000000001</v>
      </c>
      <c r="F31" s="50"/>
      <c r="G31" s="40">
        <f t="shared" si="1"/>
        <v>1.255319148936169E-5</v>
      </c>
      <c r="H31" s="17"/>
    </row>
    <row r="32" spans="1:12" x14ac:dyDescent="0.25">
      <c r="A32" s="42"/>
      <c r="B32" s="48">
        <v>8</v>
      </c>
      <c r="C32" s="48"/>
      <c r="D32" s="56">
        <f t="shared" si="0"/>
        <v>480</v>
      </c>
      <c r="E32" s="57">
        <v>1.7350000000000001</v>
      </c>
      <c r="F32" s="50"/>
      <c r="G32" s="40">
        <f t="shared" si="1"/>
        <v>1.3120567375886511E-5</v>
      </c>
      <c r="H32" s="17"/>
    </row>
    <row r="33" spans="1:8" x14ac:dyDescent="0.25">
      <c r="A33" s="42"/>
      <c r="B33" s="48">
        <v>8</v>
      </c>
      <c r="C33" s="48">
        <v>30</v>
      </c>
      <c r="D33" s="56">
        <f t="shared" si="0"/>
        <v>510</v>
      </c>
      <c r="E33" s="57">
        <v>1.7290000000000001</v>
      </c>
      <c r="F33" s="50"/>
      <c r="G33" s="40">
        <f t="shared" si="1"/>
        <v>1.354609929078013E-5</v>
      </c>
      <c r="H33" s="17"/>
    </row>
    <row r="34" spans="1:8" x14ac:dyDescent="0.25">
      <c r="A34" s="42"/>
      <c r="B34" s="48">
        <v>9</v>
      </c>
      <c r="C34" s="48"/>
      <c r="D34" s="56">
        <f t="shared" si="0"/>
        <v>540</v>
      </c>
      <c r="E34" s="57">
        <v>1.7224999999999999</v>
      </c>
      <c r="F34" s="50"/>
      <c r="G34" s="40">
        <f t="shared" si="1"/>
        <v>1.400709219858156E-5</v>
      </c>
      <c r="H34" s="17"/>
    </row>
    <row r="35" spans="1:8" x14ac:dyDescent="0.25">
      <c r="A35" s="42"/>
      <c r="B35" s="48">
        <v>9</v>
      </c>
      <c r="C35" s="48">
        <v>30</v>
      </c>
      <c r="D35" s="56">
        <f t="shared" si="0"/>
        <v>570</v>
      </c>
      <c r="E35" s="57">
        <v>1.716</v>
      </c>
      <c r="F35" s="50"/>
      <c r="G35" s="40">
        <f t="shared" si="1"/>
        <v>1.4468085106382976E-5</v>
      </c>
      <c r="H35" s="17"/>
    </row>
    <row r="36" spans="1:8" x14ac:dyDescent="0.25">
      <c r="A36" s="42"/>
      <c r="B36" s="48">
        <v>10</v>
      </c>
      <c r="C36" s="48"/>
      <c r="D36" s="56">
        <f t="shared" si="0"/>
        <v>600</v>
      </c>
      <c r="E36" s="57">
        <v>1.7095</v>
      </c>
      <c r="F36" s="50"/>
      <c r="G36" s="40">
        <f t="shared" si="1"/>
        <v>1.4929078014184389E-5</v>
      </c>
      <c r="H36" s="17"/>
    </row>
    <row r="37" spans="1:8" x14ac:dyDescent="0.25">
      <c r="A37" s="42"/>
      <c r="B37" s="48">
        <v>11</v>
      </c>
      <c r="C37" s="48">
        <v>9</v>
      </c>
      <c r="D37" s="56">
        <f t="shared" si="0"/>
        <v>669</v>
      </c>
      <c r="E37" s="57">
        <v>1.702</v>
      </c>
      <c r="F37" s="50"/>
      <c r="G37" s="40">
        <f t="shared" si="1"/>
        <v>1.5460992907801416E-5</v>
      </c>
      <c r="H37" s="17"/>
    </row>
    <row r="38" spans="1:8" x14ac:dyDescent="0.25">
      <c r="A38" s="42"/>
      <c r="B38" s="48">
        <v>11</v>
      </c>
      <c r="C38" s="48">
        <v>40</v>
      </c>
      <c r="D38" s="56">
        <f t="shared" si="0"/>
        <v>700</v>
      </c>
      <c r="E38" s="57">
        <v>1.696</v>
      </c>
      <c r="F38" s="50"/>
      <c r="G38" s="40">
        <f t="shared" si="1"/>
        <v>1.5886524822695031E-5</v>
      </c>
      <c r="H38" s="17"/>
    </row>
    <row r="39" spans="1:8" x14ac:dyDescent="0.25">
      <c r="A39" s="42"/>
      <c r="B39" s="48">
        <v>12</v>
      </c>
      <c r="C39" s="48">
        <v>30</v>
      </c>
      <c r="D39" s="56">
        <f t="shared" si="0"/>
        <v>750</v>
      </c>
      <c r="E39" s="57">
        <v>1.6859999999999999</v>
      </c>
      <c r="F39" s="50"/>
      <c r="G39" s="40">
        <f t="shared" si="1"/>
        <v>1.6595744680851061E-5</v>
      </c>
      <c r="H39" s="17"/>
    </row>
    <row r="40" spans="1:8" x14ac:dyDescent="0.25">
      <c r="A40" s="42"/>
      <c r="B40" s="48">
        <v>13</v>
      </c>
      <c r="C40" s="48">
        <v>30</v>
      </c>
      <c r="D40" s="56">
        <f t="shared" si="0"/>
        <v>810</v>
      </c>
      <c r="E40" s="57">
        <v>1.68</v>
      </c>
      <c r="F40" s="50"/>
      <c r="G40" s="40">
        <f t="shared" si="1"/>
        <v>1.7021276595744682E-5</v>
      </c>
      <c r="H40" s="17"/>
    </row>
    <row r="41" spans="1:8" x14ac:dyDescent="0.25">
      <c r="A41" s="42"/>
      <c r="B41" s="48">
        <v>16</v>
      </c>
      <c r="C41" s="48">
        <v>32</v>
      </c>
      <c r="D41" s="56">
        <f t="shared" si="0"/>
        <v>992</v>
      </c>
      <c r="E41" s="57">
        <v>1.6579999999999999</v>
      </c>
      <c r="F41" s="50"/>
      <c r="G41" s="40">
        <f t="shared" si="1"/>
        <v>1.8581560283687945E-5</v>
      </c>
      <c r="H41" s="17"/>
    </row>
    <row r="42" spans="1:8" x14ac:dyDescent="0.25">
      <c r="A42" s="42"/>
      <c r="B42" s="48">
        <v>19</v>
      </c>
      <c r="C42" s="48">
        <v>15</v>
      </c>
      <c r="D42" s="56">
        <f t="shared" si="0"/>
        <v>1155</v>
      </c>
      <c r="E42" s="57">
        <v>1.645</v>
      </c>
      <c r="F42" s="50"/>
      <c r="G42" s="40">
        <f t="shared" si="1"/>
        <v>1.9503546099290777E-5</v>
      </c>
      <c r="H42" s="17"/>
    </row>
    <row r="43" spans="1:8" x14ac:dyDescent="0.25">
      <c r="A43" s="42"/>
      <c r="B43" s="48">
        <v>20</v>
      </c>
      <c r="C43" s="48">
        <v>8</v>
      </c>
      <c r="D43" s="56">
        <f t="shared" si="0"/>
        <v>1208</v>
      </c>
      <c r="E43" s="57">
        <v>1.641</v>
      </c>
      <c r="F43" s="50"/>
      <c r="G43" s="40">
        <f t="shared" si="1"/>
        <v>1.9787234042553182E-5</v>
      </c>
      <c r="H43" s="17"/>
    </row>
    <row r="44" spans="1:8" x14ac:dyDescent="0.25">
      <c r="A44" s="42"/>
      <c r="B44" s="48">
        <v>21</v>
      </c>
      <c r="C44" s="48"/>
      <c r="D44" s="56">
        <f t="shared" si="0"/>
        <v>1260</v>
      </c>
      <c r="E44" s="57">
        <v>1.635</v>
      </c>
      <c r="F44" s="50"/>
      <c r="G44" s="40">
        <f t="shared" si="1"/>
        <v>2.0212765957446804E-5</v>
      </c>
      <c r="H44" s="17"/>
    </row>
    <row r="45" spans="1:8" x14ac:dyDescent="0.25">
      <c r="A45" s="42"/>
      <c r="B45" s="48">
        <v>22</v>
      </c>
      <c r="C45" s="48">
        <v>3</v>
      </c>
      <c r="D45" s="56">
        <f t="shared" si="0"/>
        <v>1323</v>
      </c>
      <c r="E45" s="57">
        <v>1.631</v>
      </c>
      <c r="F45" s="50"/>
      <c r="G45" s="40">
        <f t="shared" si="1"/>
        <v>2.0496453900709212E-5</v>
      </c>
      <c r="H45" s="17"/>
    </row>
    <row r="46" spans="1:8" x14ac:dyDescent="0.25">
      <c r="A46" s="42"/>
      <c r="B46" s="48">
        <v>23</v>
      </c>
      <c r="C46" s="48">
        <v>40</v>
      </c>
      <c r="D46" s="56">
        <f t="shared" si="0"/>
        <v>1420</v>
      </c>
      <c r="E46" s="57">
        <v>1.623</v>
      </c>
      <c r="F46" s="50"/>
      <c r="G46" s="40">
        <f t="shared" si="1"/>
        <v>2.1063829787234036E-5</v>
      </c>
      <c r="H46" s="17"/>
    </row>
    <row r="47" spans="1:8" x14ac:dyDescent="0.25">
      <c r="A47" s="42"/>
      <c r="B47" s="48">
        <v>25</v>
      </c>
      <c r="C47" s="48"/>
      <c r="D47" s="56">
        <f t="shared" si="0"/>
        <v>1500</v>
      </c>
      <c r="E47" s="57">
        <v>1.615</v>
      </c>
      <c r="F47" s="50"/>
      <c r="G47" s="40">
        <f t="shared" si="1"/>
        <v>2.163120567375886E-5</v>
      </c>
      <c r="H47" s="17"/>
    </row>
    <row r="48" spans="1:8" x14ac:dyDescent="0.25">
      <c r="A48" s="42"/>
      <c r="B48" s="48">
        <v>26</v>
      </c>
      <c r="C48" s="48"/>
      <c r="D48" s="56">
        <f t="shared" si="0"/>
        <v>1560</v>
      </c>
      <c r="E48" s="57">
        <v>1.61</v>
      </c>
      <c r="F48" s="50"/>
      <c r="G48" s="40">
        <f t="shared" si="1"/>
        <v>2.1985815602836865E-5</v>
      </c>
      <c r="H48" s="17"/>
    </row>
    <row r="49" spans="1:8" x14ac:dyDescent="0.25">
      <c r="A49" s="42"/>
      <c r="B49" s="48">
        <v>27</v>
      </c>
      <c r="C49" s="48"/>
      <c r="D49" s="56">
        <f t="shared" si="0"/>
        <v>1620</v>
      </c>
      <c r="E49" s="57">
        <v>1.605</v>
      </c>
      <c r="F49" s="50"/>
      <c r="G49" s="40">
        <f t="shared" si="1"/>
        <v>2.2340425531914887E-5</v>
      </c>
      <c r="H49" s="17"/>
    </row>
    <row r="50" spans="1:8" x14ac:dyDescent="0.25">
      <c r="A50" s="42"/>
      <c r="B50" s="48">
        <v>28</v>
      </c>
      <c r="C50" s="48"/>
      <c r="D50" s="56">
        <f t="shared" si="0"/>
        <v>1680</v>
      </c>
      <c r="E50" s="57">
        <v>1.601</v>
      </c>
      <c r="F50" s="50"/>
      <c r="G50" s="40">
        <f t="shared" si="1"/>
        <v>2.2624113475177302E-5</v>
      </c>
      <c r="H50" s="17"/>
    </row>
    <row r="51" spans="1:8" x14ac:dyDescent="0.25">
      <c r="B51" s="48">
        <v>29</v>
      </c>
      <c r="C51" s="48">
        <v>30</v>
      </c>
      <c r="D51" s="56">
        <f t="shared" si="0"/>
        <v>1770</v>
      </c>
      <c r="E51" s="57">
        <v>1.5940000000000001</v>
      </c>
      <c r="F51" s="50"/>
      <c r="G51" s="40">
        <f t="shared" si="1"/>
        <v>2.3120567375886513E-5</v>
      </c>
    </row>
    <row r="52" spans="1:8" x14ac:dyDescent="0.25">
      <c r="B52" s="48">
        <v>31</v>
      </c>
      <c r="C52" s="48"/>
      <c r="D52" s="56">
        <f t="shared" si="0"/>
        <v>1860</v>
      </c>
      <c r="E52" s="57">
        <v>1.5860000000000001</v>
      </c>
      <c r="F52" s="50"/>
      <c r="G52" s="40">
        <f t="shared" si="1"/>
        <v>2.3687943262411334E-5</v>
      </c>
    </row>
    <row r="53" spans="1:8" x14ac:dyDescent="0.25">
      <c r="B53" s="48">
        <v>32</v>
      </c>
      <c r="C53" s="48"/>
      <c r="D53" s="56">
        <f t="shared" si="0"/>
        <v>1920</v>
      </c>
      <c r="E53" s="57">
        <v>1.58</v>
      </c>
      <c r="F53" s="50"/>
      <c r="G53" s="40">
        <f t="shared" si="1"/>
        <v>2.4113475177304955E-5</v>
      </c>
    </row>
    <row r="54" spans="1:8" x14ac:dyDescent="0.25">
      <c r="B54" s="48">
        <v>33</v>
      </c>
      <c r="C54" s="48">
        <v>10</v>
      </c>
      <c r="D54" s="56">
        <f t="shared" si="0"/>
        <v>1990</v>
      </c>
      <c r="E54" s="57">
        <v>1.575</v>
      </c>
      <c r="F54" s="50"/>
      <c r="G54" s="40">
        <f t="shared" si="1"/>
        <v>2.446808510638298E-5</v>
      </c>
    </row>
    <row r="55" spans="1:8" x14ac:dyDescent="0.25">
      <c r="B55" s="48">
        <v>34</v>
      </c>
      <c r="C55" s="48">
        <v>20</v>
      </c>
      <c r="D55" s="56">
        <f t="shared" si="0"/>
        <v>2060</v>
      </c>
      <c r="E55" s="57">
        <v>1.569</v>
      </c>
      <c r="F55" s="50"/>
      <c r="G55" s="40">
        <f t="shared" si="1"/>
        <v>2.4893617021276592E-5</v>
      </c>
    </row>
    <row r="56" spans="1:8" x14ac:dyDescent="0.25">
      <c r="B56" s="48">
        <v>35</v>
      </c>
      <c r="C56" s="48">
        <v>20</v>
      </c>
      <c r="D56" s="56">
        <f t="shared" si="0"/>
        <v>2120</v>
      </c>
      <c r="E56" s="57">
        <v>1.5649999999999999</v>
      </c>
      <c r="F56" s="50"/>
      <c r="G56" s="40">
        <f t="shared" si="1"/>
        <v>2.517730496453901E-5</v>
      </c>
    </row>
    <row r="57" spans="1:8" x14ac:dyDescent="0.25">
      <c r="B57" s="48">
        <v>36</v>
      </c>
      <c r="C57" s="48">
        <v>20</v>
      </c>
      <c r="D57" s="56">
        <f t="shared" si="0"/>
        <v>2180</v>
      </c>
      <c r="E57" s="57">
        <v>1.5569999999999999</v>
      </c>
      <c r="F57" s="50"/>
      <c r="G57" s="40">
        <f t="shared" si="1"/>
        <v>2.5744680851063831E-5</v>
      </c>
    </row>
    <row r="58" spans="1:8" x14ac:dyDescent="0.25">
      <c r="B58" s="48">
        <v>37</v>
      </c>
      <c r="C58" s="48">
        <v>15</v>
      </c>
      <c r="D58" s="56">
        <f t="shared" si="0"/>
        <v>2235</v>
      </c>
      <c r="E58" s="57">
        <v>1.5529999999999999</v>
      </c>
      <c r="F58" s="50"/>
      <c r="G58" s="40">
        <f t="shared" si="1"/>
        <v>2.6028368794326243E-5</v>
      </c>
    </row>
    <row r="59" spans="1:8" x14ac:dyDescent="0.25">
      <c r="B59" s="48">
        <v>39</v>
      </c>
      <c r="C59" s="48">
        <v>18</v>
      </c>
      <c r="D59" s="56">
        <f t="shared" si="0"/>
        <v>2358</v>
      </c>
      <c r="E59" s="57">
        <v>1.544</v>
      </c>
      <c r="F59" s="50"/>
      <c r="G59" s="40">
        <f t="shared" si="1"/>
        <v>2.6666666666666656E-5</v>
      </c>
    </row>
    <row r="60" spans="1:8" x14ac:dyDescent="0.25">
      <c r="B60" s="48">
        <v>40</v>
      </c>
      <c r="C60" s="48">
        <v>20</v>
      </c>
      <c r="D60" s="56">
        <f t="shared" si="0"/>
        <v>2420</v>
      </c>
      <c r="E60" s="57">
        <v>1.5389999999999999</v>
      </c>
      <c r="F60" s="50"/>
      <c r="G60" s="40">
        <f t="shared" si="1"/>
        <v>2.7021276595744682E-5</v>
      </c>
    </row>
    <row r="61" spans="1:8" x14ac:dyDescent="0.25">
      <c r="B61" s="48">
        <v>42</v>
      </c>
      <c r="C61" s="48">
        <v>40</v>
      </c>
      <c r="D61" s="56">
        <f t="shared" si="0"/>
        <v>2560</v>
      </c>
      <c r="E61" s="57">
        <v>1.5269999999999999</v>
      </c>
      <c r="F61" s="50"/>
      <c r="G61" s="40">
        <f t="shared" si="1"/>
        <v>2.7872340425531918E-5</v>
      </c>
    </row>
    <row r="62" spans="1:8" x14ac:dyDescent="0.25">
      <c r="B62" s="48">
        <v>44</v>
      </c>
      <c r="C62" s="48">
        <v>10</v>
      </c>
      <c r="D62" s="56">
        <f t="shared" si="0"/>
        <v>2650</v>
      </c>
      <c r="E62" s="57">
        <v>1.52</v>
      </c>
      <c r="F62" s="50"/>
      <c r="G62" s="40">
        <f t="shared" si="1"/>
        <v>2.8368794326241132E-5</v>
      </c>
    </row>
    <row r="63" spans="1:8" x14ac:dyDescent="0.25">
      <c r="B63" s="48">
        <v>46</v>
      </c>
      <c r="C63" s="48">
        <v>5</v>
      </c>
      <c r="D63" s="56">
        <f t="shared" si="0"/>
        <v>2765</v>
      </c>
      <c r="E63" s="57">
        <v>1.5089999999999999</v>
      </c>
      <c r="F63" s="50"/>
      <c r="G63" s="40">
        <f t="shared" si="1"/>
        <v>2.9148936170212768E-5</v>
      </c>
    </row>
    <row r="64" spans="1:8" x14ac:dyDescent="0.25">
      <c r="B64" s="48">
        <v>47</v>
      </c>
      <c r="C64" s="48">
        <v>50</v>
      </c>
      <c r="D64" s="56">
        <f t="shared" si="0"/>
        <v>2870</v>
      </c>
      <c r="E64" s="57">
        <v>1.502</v>
      </c>
      <c r="F64" s="50"/>
      <c r="G64" s="40">
        <f t="shared" si="1"/>
        <v>2.9645390070921976E-5</v>
      </c>
    </row>
    <row r="65" spans="2:7" x14ac:dyDescent="0.25">
      <c r="B65" s="48">
        <v>49</v>
      </c>
      <c r="C65" s="48"/>
      <c r="D65" s="56">
        <f t="shared" si="0"/>
        <v>2940</v>
      </c>
      <c r="E65" s="57">
        <v>1.496</v>
      </c>
      <c r="F65" s="50"/>
      <c r="G65" s="40">
        <f t="shared" si="1"/>
        <v>3.00709219858156E-5</v>
      </c>
    </row>
    <row r="66" spans="2:7" x14ac:dyDescent="0.25">
      <c r="B66" s="48">
        <v>51</v>
      </c>
      <c r="C66" s="48"/>
      <c r="D66" s="56">
        <f t="shared" si="0"/>
        <v>3060</v>
      </c>
      <c r="E66" s="57">
        <v>1.484</v>
      </c>
      <c r="F66" s="50"/>
      <c r="G66" s="40">
        <f t="shared" si="1"/>
        <v>3.0921985815602833E-5</v>
      </c>
    </row>
    <row r="67" spans="2:7" x14ac:dyDescent="0.25">
      <c r="B67" s="48">
        <v>53</v>
      </c>
      <c r="C67" s="48"/>
      <c r="D67" s="56">
        <f t="shared" si="0"/>
        <v>3180</v>
      </c>
      <c r="E67" s="57">
        <v>1.46</v>
      </c>
      <c r="F67" s="50"/>
      <c r="G67" s="40">
        <f t="shared" si="1"/>
        <v>3.2624113475177305E-5</v>
      </c>
    </row>
    <row r="68" spans="2:7" x14ac:dyDescent="0.25">
      <c r="B68" s="48">
        <v>55</v>
      </c>
      <c r="C68" s="48">
        <v>30</v>
      </c>
      <c r="D68" s="56">
        <f t="shared" si="0"/>
        <v>3330</v>
      </c>
      <c r="E68" s="57">
        <v>1.4470000000000001</v>
      </c>
      <c r="F68" s="50"/>
      <c r="G68" s="40">
        <f t="shared" si="1"/>
        <v>3.3546099290780127E-5</v>
      </c>
    </row>
    <row r="69" spans="2:7" x14ac:dyDescent="0.25">
      <c r="B69" s="48">
        <v>60</v>
      </c>
      <c r="C69" s="48"/>
      <c r="D69" s="56">
        <f t="shared" si="0"/>
        <v>3600</v>
      </c>
      <c r="E69" s="57">
        <v>1.3939999999999999</v>
      </c>
      <c r="F69" s="50"/>
      <c r="G69" s="40">
        <f t="shared" si="1"/>
        <v>3.7304964539007096E-5</v>
      </c>
    </row>
    <row r="70" spans="2:7" x14ac:dyDescent="0.25">
      <c r="B70" s="48">
        <v>64</v>
      </c>
      <c r="C70" s="48"/>
      <c r="D70" s="56">
        <f t="shared" si="0"/>
        <v>3840</v>
      </c>
      <c r="E70" s="57">
        <v>1.383</v>
      </c>
      <c r="F70" s="50"/>
      <c r="G70" s="40">
        <f t="shared" si="1"/>
        <v>3.8085106382978719E-5</v>
      </c>
    </row>
    <row r="71" spans="2:7" ht="15.75" thickBot="1" x14ac:dyDescent="0.3">
      <c r="B71" s="48">
        <v>71</v>
      </c>
      <c r="C71" s="48"/>
      <c r="D71" s="56">
        <f t="shared" si="0"/>
        <v>4260</v>
      </c>
      <c r="E71" s="57">
        <v>1.353</v>
      </c>
      <c r="F71" s="50"/>
      <c r="G71" s="55">
        <f t="shared" si="1"/>
        <v>4.0212765957446809E-5</v>
      </c>
    </row>
  </sheetData>
  <mergeCells count="2">
    <mergeCell ref="B12:C12"/>
    <mergeCell ref="M7:N7"/>
  </mergeCells>
  <pageMargins left="0.25" right="0.25" top="0.75" bottom="0.75" header="0.3" footer="0.3"/>
  <pageSetup paperSize="9"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3" workbookViewId="0">
      <selection activeCell="B8" sqref="B8"/>
    </sheetView>
  </sheetViews>
  <sheetFormatPr baseColWidth="10" defaultRowHeight="15" x14ac:dyDescent="0.25"/>
  <cols>
    <col min="1" max="1" width="19.28515625" style="1" customWidth="1"/>
    <col min="2" max="2" width="18.140625" style="1" bestFit="1" customWidth="1"/>
    <col min="3" max="4" width="11.42578125" style="1"/>
    <col min="5" max="5" width="15" style="1" bestFit="1" customWidth="1"/>
    <col min="6" max="6" width="11.42578125" style="1"/>
    <col min="7" max="7" width="13.28515625" style="1" bestFit="1" customWidth="1"/>
    <col min="8" max="8" width="9.140625" style="1" bestFit="1" customWidth="1"/>
    <col min="9" max="9" width="13.28515625" style="1" bestFit="1" customWidth="1"/>
    <col min="10" max="16384" width="11.42578125" style="1"/>
  </cols>
  <sheetData>
    <row r="1" spans="1:14" x14ac:dyDescent="0.3">
      <c r="I1" s="10" t="s">
        <v>16</v>
      </c>
      <c r="J1" s="11" t="s">
        <v>18</v>
      </c>
      <c r="K1" s="11" t="s">
        <v>19</v>
      </c>
      <c r="L1" s="11" t="s">
        <v>17</v>
      </c>
      <c r="M1" s="11" t="s">
        <v>20</v>
      </c>
      <c r="N1" s="11"/>
    </row>
    <row r="2" spans="1:14" x14ac:dyDescent="0.3">
      <c r="D2" s="1" t="s">
        <v>2</v>
      </c>
      <c r="E2" s="1">
        <f>E5+E8+E11</f>
        <v>60</v>
      </c>
      <c r="I2" s="9" t="s">
        <v>15</v>
      </c>
      <c r="J2" s="3">
        <v>7.3400000000000002E-3</v>
      </c>
      <c r="K2" s="3">
        <v>7.6800000000000002E-3</v>
      </c>
      <c r="L2" s="3">
        <v>7.6299999999999996E-3</v>
      </c>
      <c r="M2" s="3">
        <v>3.4959999999999998E-2</v>
      </c>
    </row>
    <row r="3" spans="1:14" x14ac:dyDescent="0.25">
      <c r="J3" s="14">
        <f>1000*J2</f>
        <v>7.34</v>
      </c>
      <c r="K3" s="14">
        <f t="shared" ref="K3:M3" si="0">1000*K2</f>
        <v>7.6800000000000006</v>
      </c>
      <c r="L3" s="14">
        <f t="shared" si="0"/>
        <v>7.63</v>
      </c>
      <c r="M3" s="14">
        <f t="shared" si="0"/>
        <v>34.96</v>
      </c>
    </row>
    <row r="4" spans="1:14" ht="45" x14ac:dyDescent="0.25">
      <c r="A4" s="4" t="s">
        <v>11</v>
      </c>
      <c r="B4" s="6" t="s">
        <v>12</v>
      </c>
      <c r="E4" s="2" t="s">
        <v>7</v>
      </c>
      <c r="H4" s="12" t="s">
        <v>22</v>
      </c>
      <c r="I4" s="12" t="s">
        <v>21</v>
      </c>
      <c r="J4" s="1" t="s">
        <v>25</v>
      </c>
      <c r="K4" s="13" t="s">
        <v>23</v>
      </c>
      <c r="L4" s="13" t="s">
        <v>24</v>
      </c>
    </row>
    <row r="5" spans="1:14" x14ac:dyDescent="0.25">
      <c r="B5" s="1" t="s">
        <v>0</v>
      </c>
      <c r="C5" s="1">
        <v>1E-3</v>
      </c>
      <c r="D5" s="1" t="s">
        <v>1</v>
      </c>
      <c r="E5" s="1">
        <v>20</v>
      </c>
      <c r="G5" s="1" t="s">
        <v>3</v>
      </c>
      <c r="H5" s="1">
        <f>$C$5*$E$5/1000</f>
        <v>2.0000000000000002E-5</v>
      </c>
      <c r="I5" s="5">
        <f>H5/($E$2/1000)</f>
        <v>3.3333333333333338E-4</v>
      </c>
      <c r="J5" s="15">
        <f>I5*1000</f>
        <v>0.33333333333333337</v>
      </c>
      <c r="K5" s="14">
        <f>1000*($J$2*J6+$K$2*J$5+$L$2*J$9+$M$2*J$8)</f>
        <v>19.203333333333337</v>
      </c>
      <c r="L5" s="14">
        <f>1000*($J$2*M6+$K$2*M$5+$L$2*M$9+$M$2*M$8)</f>
        <v>5.1033333333333335</v>
      </c>
      <c r="M5" s="5">
        <f>J5</f>
        <v>0.33333333333333337</v>
      </c>
    </row>
    <row r="6" spans="1:14" x14ac:dyDescent="0.25">
      <c r="G6" s="1" t="s">
        <v>4</v>
      </c>
      <c r="H6" s="1">
        <f>$C$5*$E$5/1000</f>
        <v>2.0000000000000002E-5</v>
      </c>
      <c r="I6" s="5">
        <f t="shared" ref="I6:I11" si="1">H6/($E$2/1000)</f>
        <v>3.3333333333333338E-4</v>
      </c>
      <c r="J6" s="15">
        <f t="shared" ref="J6:J11" si="2">I6*1000</f>
        <v>0.33333333333333337</v>
      </c>
      <c r="K6" s="14"/>
      <c r="M6" s="1">
        <f>0</f>
        <v>0</v>
      </c>
    </row>
    <row r="7" spans="1:14" x14ac:dyDescent="0.25">
      <c r="I7" s="5"/>
      <c r="J7" s="15"/>
    </row>
    <row r="8" spans="1:14" x14ac:dyDescent="0.25">
      <c r="B8" s="1" t="s">
        <v>5</v>
      </c>
      <c r="C8" s="1">
        <f>C5</f>
        <v>1E-3</v>
      </c>
      <c r="D8" s="1" t="s">
        <v>1</v>
      </c>
      <c r="E8" s="1">
        <v>20</v>
      </c>
      <c r="G8" s="1" t="s">
        <v>8</v>
      </c>
      <c r="H8" s="1">
        <f>$C$8*$E$8/1000</f>
        <v>2.0000000000000002E-5</v>
      </c>
      <c r="I8" s="5">
        <f t="shared" si="1"/>
        <v>3.3333333333333338E-4</v>
      </c>
      <c r="J8" s="15">
        <f t="shared" si="2"/>
        <v>0.33333333333333337</v>
      </c>
      <c r="M8" s="1">
        <v>0</v>
      </c>
    </row>
    <row r="9" spans="1:14" x14ac:dyDescent="0.25">
      <c r="G9" s="1" t="s">
        <v>9</v>
      </c>
      <c r="H9" s="1">
        <f>$C$8*$E$8/1000</f>
        <v>2.0000000000000002E-5</v>
      </c>
      <c r="I9" s="5">
        <f t="shared" si="1"/>
        <v>3.3333333333333338E-4</v>
      </c>
      <c r="J9" s="15">
        <f t="shared" si="2"/>
        <v>0.33333333333333337</v>
      </c>
      <c r="M9" s="5">
        <f>J9</f>
        <v>0.33333333333333337</v>
      </c>
    </row>
    <row r="10" spans="1:14" x14ac:dyDescent="0.25">
      <c r="I10" s="5"/>
      <c r="J10" s="15"/>
    </row>
    <row r="11" spans="1:14" x14ac:dyDescent="0.25">
      <c r="B11" s="1" t="s">
        <v>6</v>
      </c>
      <c r="C11" s="1">
        <f>C8/2</f>
        <v>5.0000000000000001E-4</v>
      </c>
      <c r="D11" s="1" t="s">
        <v>1</v>
      </c>
      <c r="E11" s="1">
        <v>20</v>
      </c>
      <c r="G11" s="1" t="s">
        <v>10</v>
      </c>
      <c r="H11" s="1">
        <f>$C$11*$E$11/1000</f>
        <v>1.0000000000000001E-5</v>
      </c>
      <c r="I11" s="5">
        <f t="shared" si="1"/>
        <v>1.6666666666666669E-4</v>
      </c>
      <c r="J11" s="15">
        <f t="shared" si="2"/>
        <v>0.16666666666666669</v>
      </c>
      <c r="M11" s="5">
        <f>J11</f>
        <v>0.16666666666666669</v>
      </c>
    </row>
    <row r="14" spans="1:14" ht="45" x14ac:dyDescent="0.25">
      <c r="A14" s="8" t="s">
        <v>13</v>
      </c>
      <c r="B14" s="6" t="s">
        <v>12</v>
      </c>
      <c r="E14" s="2" t="s">
        <v>7</v>
      </c>
      <c r="H14" s="12" t="s">
        <v>22</v>
      </c>
      <c r="I14" s="12" t="s">
        <v>21</v>
      </c>
    </row>
    <row r="15" spans="1:14" x14ac:dyDescent="0.25">
      <c r="B15" s="1" t="s">
        <v>0</v>
      </c>
      <c r="C15" s="1">
        <v>3.0000000000000001E-3</v>
      </c>
      <c r="D15" s="1" t="s">
        <v>1</v>
      </c>
      <c r="E15" s="1">
        <v>20</v>
      </c>
      <c r="G15" s="1" t="s">
        <v>3</v>
      </c>
      <c r="H15" s="1">
        <f>$C$15*$E$15/1000</f>
        <v>5.9999999999999995E-5</v>
      </c>
      <c r="I15" s="5">
        <f>1000*H15/$E$2</f>
        <v>1E-3</v>
      </c>
    </row>
    <row r="16" spans="1:14" x14ac:dyDescent="0.25">
      <c r="G16" s="1" t="s">
        <v>4</v>
      </c>
      <c r="H16" s="1">
        <f>$C$15*$E$15/1000</f>
        <v>5.9999999999999995E-5</v>
      </c>
      <c r="I16" s="5">
        <f>1000*H16/$E$2</f>
        <v>1E-3</v>
      </c>
    </row>
    <row r="17" spans="1:9" x14ac:dyDescent="0.25">
      <c r="I17" s="5"/>
    </row>
    <row r="18" spans="1:9" x14ac:dyDescent="0.25">
      <c r="B18" s="1" t="s">
        <v>5</v>
      </c>
      <c r="C18" s="1">
        <v>3.0000000000000001E-3</v>
      </c>
      <c r="D18" s="1" t="s">
        <v>1</v>
      </c>
      <c r="E18" s="1">
        <v>20</v>
      </c>
      <c r="G18" s="1" t="s">
        <v>8</v>
      </c>
      <c r="H18" s="1">
        <f>$C$18*$E$18/1000</f>
        <v>5.9999999999999995E-5</v>
      </c>
      <c r="I18" s="5">
        <f>1000*H18/$E$2</f>
        <v>1E-3</v>
      </c>
    </row>
    <row r="19" spans="1:9" x14ac:dyDescent="0.25">
      <c r="G19" s="1" t="s">
        <v>9</v>
      </c>
      <c r="H19" s="1">
        <f>$C$18*$E$18/1000</f>
        <v>5.9999999999999995E-5</v>
      </c>
      <c r="I19" s="5">
        <f>1000*H19/$E$2</f>
        <v>1E-3</v>
      </c>
    </row>
    <row r="20" spans="1:9" x14ac:dyDescent="0.25">
      <c r="I20" s="5"/>
    </row>
    <row r="21" spans="1:9" x14ac:dyDescent="0.25">
      <c r="B21" s="1" t="s">
        <v>6</v>
      </c>
      <c r="C21" s="1">
        <v>1.4999999999999999E-2</v>
      </c>
      <c r="D21" s="1" t="s">
        <v>1</v>
      </c>
      <c r="E21" s="1">
        <v>20</v>
      </c>
      <c r="G21" s="1" t="s">
        <v>10</v>
      </c>
      <c r="H21" s="1">
        <f>$C$21*$E$21/1000</f>
        <v>2.9999999999999997E-4</v>
      </c>
      <c r="I21" s="5">
        <f>1000*H21/$E$2</f>
        <v>5.0000000000000001E-3</v>
      </c>
    </row>
    <row r="25" spans="1:9" ht="45" x14ac:dyDescent="0.25">
      <c r="A25" s="4" t="s">
        <v>11</v>
      </c>
      <c r="B25" s="7" t="s">
        <v>14</v>
      </c>
      <c r="E25" s="2" t="s">
        <v>7</v>
      </c>
      <c r="H25" s="12" t="s">
        <v>22</v>
      </c>
      <c r="I25" s="12" t="s">
        <v>21</v>
      </c>
    </row>
    <row r="26" spans="1:9" x14ac:dyDescent="0.25">
      <c r="B26" s="1" t="s">
        <v>0</v>
      </c>
      <c r="C26" s="1">
        <v>3.0000000000000001E-3</v>
      </c>
      <c r="D26" s="1" t="s">
        <v>1</v>
      </c>
      <c r="E26" s="1">
        <v>20</v>
      </c>
      <c r="G26" s="1" t="s">
        <v>3</v>
      </c>
      <c r="H26" s="1">
        <f>$C$26*$E$26/1000</f>
        <v>5.9999999999999995E-5</v>
      </c>
      <c r="I26" s="5">
        <f>1000*H26/$E$2</f>
        <v>1E-3</v>
      </c>
    </row>
    <row r="27" spans="1:9" x14ac:dyDescent="0.25">
      <c r="G27" s="1" t="s">
        <v>4</v>
      </c>
      <c r="H27" s="1">
        <f t="shared" ref="H27:H30" si="3">$C$26*$E$26/1000</f>
        <v>5.9999999999999995E-5</v>
      </c>
      <c r="I27" s="5">
        <f>1000*H27/$E$2</f>
        <v>1E-3</v>
      </c>
    </row>
    <row r="28" spans="1:9" x14ac:dyDescent="0.25">
      <c r="I28" s="5"/>
    </row>
    <row r="29" spans="1:9" x14ac:dyDescent="0.25">
      <c r="B29" s="1" t="s">
        <v>5</v>
      </c>
      <c r="C29" s="1">
        <v>3.0000000000000001E-3</v>
      </c>
      <c r="D29" s="1" t="s">
        <v>1</v>
      </c>
      <c r="E29" s="1">
        <v>20</v>
      </c>
      <c r="G29" s="1" t="s">
        <v>8</v>
      </c>
      <c r="H29" s="1">
        <f>$C$29*$E$29/1000</f>
        <v>5.9999999999999995E-5</v>
      </c>
      <c r="I29" s="5">
        <f>1000*H29/$E$2</f>
        <v>1E-3</v>
      </c>
    </row>
    <row r="30" spans="1:9" x14ac:dyDescent="0.25">
      <c r="G30" s="1" t="s">
        <v>9</v>
      </c>
      <c r="H30" s="1">
        <f t="shared" si="3"/>
        <v>5.9999999999999995E-5</v>
      </c>
      <c r="I30" s="5">
        <f>1000*H30/$E$2</f>
        <v>1E-3</v>
      </c>
    </row>
    <row r="31" spans="1:9" x14ac:dyDescent="0.25">
      <c r="I31" s="5"/>
    </row>
    <row r="32" spans="1:9" x14ac:dyDescent="0.25">
      <c r="B32" s="1" t="s">
        <v>6</v>
      </c>
      <c r="C32" s="1">
        <v>1.5E-3</v>
      </c>
      <c r="D32" s="1" t="s">
        <v>1</v>
      </c>
      <c r="E32" s="1">
        <v>20</v>
      </c>
      <c r="G32" s="1" t="s">
        <v>10</v>
      </c>
      <c r="H32" s="1">
        <f>$C$32*$E$32/1000</f>
        <v>2.9999999999999997E-5</v>
      </c>
      <c r="I32" s="5">
        <f>1000*H32/$E$2</f>
        <v>5.0000000000000001E-4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relevé de mesures</vt:lpstr>
      <vt:lpstr>suivi conductimétrie élève</vt:lpstr>
      <vt:lpstr>suivi conductimétrie t=20 °exce</vt:lpstr>
      <vt:lpstr>suivi conductimétrie t=20 °C)</vt:lpstr>
      <vt:lpstr>suivi conductimétrie t=15°C</vt:lpstr>
      <vt:lpstr>Feuil1</vt:lpstr>
      <vt:lpstr>'suivi conductimétrie élève'!Zone_d_impression</vt:lpstr>
      <vt:lpstr>'suivi conductimétrie t=15°C'!Zone_d_impression</vt:lpstr>
      <vt:lpstr>'suivi conductimétrie t=20 °C)'!Zone_d_impression</vt:lpstr>
      <vt:lpstr>'suivi conductimétrie t=20 °exce'!Zone_d_impression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b.larvor</dc:creator>
  <cp:lastModifiedBy>Larvor Benedicte</cp:lastModifiedBy>
  <cp:lastPrinted>2017-02-07T21:56:23Z</cp:lastPrinted>
  <dcterms:created xsi:type="dcterms:W3CDTF">2017-01-31T15:48:12Z</dcterms:created>
  <dcterms:modified xsi:type="dcterms:W3CDTF">2017-12-21T14:21:06Z</dcterms:modified>
</cp:coreProperties>
</file>